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8460" windowHeight="6030" firstSheet="3" activeTab="3"/>
  </bookViews>
  <sheets>
    <sheet name="HP NP4" sheetId="1" state="hidden" r:id="rId1"/>
    <sheet name="RCC SD" sheetId="2" state="hidden" r:id="rId2"/>
    <sheet name="School Extension (Modified)" sheetId="7" state="hidden" r:id="rId3"/>
    <sheet name="Nongmynsong" sheetId="9" r:id="rId4"/>
    <sheet name="Mawblei (Original)" sheetId="6" state="hidden" r:id="rId5"/>
    <sheet name="Science Labaratory (Option 2)" sheetId="5" state="hidden" r:id="rId6"/>
    <sheet name="Science Labaratory" sheetId="3" state="hidden" r:id="rId7"/>
    <sheet name="GENERAL ABSTRACT (Modified)" sheetId="4" state="hidden" r:id="rId8"/>
    <sheet name="uTILISATION" sheetId="10" r:id="rId9"/>
    <sheet name="Forest Royalty" sheetId="11" r:id="rId10"/>
  </sheets>
  <definedNames>
    <definedName name="_xlnm.Print_Area" localSheetId="4">'Mawblei (Original)'!$A$1:$R$301</definedName>
    <definedName name="_xlnm.Print_Area" localSheetId="3">Nongmynsong!$A$1:$Z$290</definedName>
    <definedName name="_xlnm.Print_Area" localSheetId="2">'School Extension (Modified)'!$A$1:$R$260</definedName>
    <definedName name="_xlnm.Print_Area" localSheetId="6">'Science Labaratory'!$A$1:$R$200</definedName>
    <definedName name="_xlnm.Print_Area" localSheetId="5">'Science Labaratory (Option 2)'!$A$1:$R$194</definedName>
  </definedNames>
  <calcPr calcId="125725"/>
</workbook>
</file>

<file path=xl/calcChain.xml><?xml version="1.0" encoding="utf-8"?>
<calcChain xmlns="http://schemas.openxmlformats.org/spreadsheetml/2006/main">
  <c r="N84" i="9"/>
  <c r="N142"/>
  <c r="N141"/>
  <c r="N140"/>
  <c r="N132"/>
  <c r="N130"/>
  <c r="N128"/>
  <c r="N143" l="1"/>
  <c r="R144" s="1"/>
  <c r="N133"/>
  <c r="H224" l="1"/>
  <c r="N224" s="1"/>
  <c r="N223"/>
  <c r="N222"/>
  <c r="N220"/>
  <c r="N219"/>
  <c r="N218"/>
  <c r="H216"/>
  <c r="N216" s="1"/>
  <c r="H215"/>
  <c r="N215" s="1"/>
  <c r="H214"/>
  <c r="N214" s="1"/>
  <c r="N212"/>
  <c r="N211"/>
  <c r="N210"/>
  <c r="N204"/>
  <c r="N205" s="1"/>
  <c r="R206" s="1"/>
  <c r="N191"/>
  <c r="N190"/>
  <c r="N189"/>
  <c r="N188"/>
  <c r="N181"/>
  <c r="N180"/>
  <c r="N178"/>
  <c r="N177"/>
  <c r="N175"/>
  <c r="N174"/>
  <c r="N167"/>
  <c r="N165"/>
  <c r="N164"/>
  <c r="N162"/>
  <c r="N161"/>
  <c r="N157"/>
  <c r="H166"/>
  <c r="N166" s="1"/>
  <c r="H155"/>
  <c r="N155" s="1"/>
  <c r="H154"/>
  <c r="N154" s="1"/>
  <c r="H153"/>
  <c r="N153" s="1"/>
  <c r="N151"/>
  <c r="N150"/>
  <c r="N149"/>
  <c r="N113"/>
  <c r="N112"/>
  <c r="N111"/>
  <c r="N109"/>
  <c r="N108"/>
  <c r="N106"/>
  <c r="N105"/>
  <c r="N99"/>
  <c r="N98"/>
  <c r="N97"/>
  <c r="N95"/>
  <c r="N94"/>
  <c r="N93"/>
  <c r="F82"/>
  <c r="N82" s="1"/>
  <c r="N81"/>
  <c r="N79"/>
  <c r="N77"/>
  <c r="N75"/>
  <c r="N74"/>
  <c r="N72"/>
  <c r="N70"/>
  <c r="N85" l="1"/>
  <c r="R86" s="1"/>
  <c r="N182"/>
  <c r="R183" s="1"/>
  <c r="N192"/>
  <c r="N193" s="1"/>
  <c r="N225"/>
  <c r="R226" s="1"/>
  <c r="N168"/>
  <c r="R169" s="1"/>
  <c r="N114"/>
  <c r="R115" s="1"/>
  <c r="N134"/>
  <c r="R135" s="1"/>
  <c r="N100"/>
  <c r="R101" s="1"/>
  <c r="L62"/>
  <c r="J62"/>
  <c r="H62"/>
  <c r="N60"/>
  <c r="N59"/>
  <c r="N57"/>
  <c r="N56"/>
  <c r="N55"/>
  <c r="N53"/>
  <c r="N52"/>
  <c r="N34"/>
  <c r="N33"/>
  <c r="N194" l="1"/>
  <c r="N195" s="1"/>
  <c r="N196" s="1"/>
  <c r="R197" s="1"/>
  <c r="N62"/>
  <c r="N63" s="1"/>
  <c r="N35"/>
  <c r="N36" s="1"/>
  <c r="N39"/>
  <c r="N40" s="1"/>
  <c r="N41" s="1"/>
  <c r="N30"/>
  <c r="N29"/>
  <c r="N28"/>
  <c r="N27"/>
  <c r="N26"/>
  <c r="N25"/>
  <c r="N24"/>
  <c r="N23"/>
  <c r="N22"/>
  <c r="N21"/>
  <c r="J17"/>
  <c r="N17" s="1"/>
  <c r="J16"/>
  <c r="N16" s="1"/>
  <c r="N15"/>
  <c r="N11"/>
  <c r="N10"/>
  <c r="N241"/>
  <c r="N242" s="1"/>
  <c r="R243" s="1"/>
  <c r="N231"/>
  <c r="N232" s="1"/>
  <c r="R233" s="1"/>
  <c r="N18" l="1"/>
  <c r="R64"/>
  <c r="N12"/>
  <c r="N13" s="1"/>
  <c r="N31"/>
  <c r="N32" s="1"/>
  <c r="N19"/>
  <c r="N42" l="1"/>
  <c r="N43" s="1"/>
  <c r="R44" s="1"/>
  <c r="R46" s="1"/>
  <c r="R47" s="1"/>
  <c r="R88" s="1"/>
  <c r="C11" i="11" l="1"/>
  <c r="J12" s="1"/>
  <c r="N8" i="10"/>
  <c r="P8" s="1"/>
  <c r="L114" i="6" l="1"/>
  <c r="L115" s="1"/>
  <c r="N115" s="1"/>
  <c r="L108"/>
  <c r="N113"/>
  <c r="N244"/>
  <c r="N243"/>
  <c r="F227"/>
  <c r="N227" s="1"/>
  <c r="F226"/>
  <c r="N226" s="1"/>
  <c r="N209"/>
  <c r="N207"/>
  <c r="N202"/>
  <c r="N203"/>
  <c r="N204"/>
  <c r="N205"/>
  <c r="N206"/>
  <c r="N191"/>
  <c r="N192" s="1"/>
  <c r="N193" s="1"/>
  <c r="R194" s="1"/>
  <c r="N180"/>
  <c r="N178"/>
  <c r="N179"/>
  <c r="N177"/>
  <c r="H146"/>
  <c r="J149" s="1"/>
  <c r="L139"/>
  <c r="L138"/>
  <c r="L137"/>
  <c r="L68"/>
  <c r="J68" s="1"/>
  <c r="J46"/>
  <c r="L52"/>
  <c r="L57" s="1"/>
  <c r="J62" s="1"/>
  <c r="J52"/>
  <c r="J57" s="1"/>
  <c r="L46"/>
  <c r="L62" s="1"/>
  <c r="H253"/>
  <c r="H264" s="1"/>
  <c r="N264" s="1"/>
  <c r="F225"/>
  <c r="F151"/>
  <c r="H151" s="1"/>
  <c r="N114" l="1"/>
  <c r="N116" s="1"/>
  <c r="N117" s="1"/>
  <c r="N245"/>
  <c r="J146"/>
  <c r="N181"/>
  <c r="N183" s="1"/>
  <c r="N253"/>
  <c r="N265"/>
  <c r="N225"/>
  <c r="N228" s="1"/>
  <c r="N182" l="1"/>
  <c r="N184" s="1"/>
  <c r="N256"/>
  <c r="F133" l="1"/>
  <c r="N8"/>
  <c r="J118"/>
  <c r="N118" s="1"/>
  <c r="N119" s="1"/>
  <c r="N120" s="1"/>
  <c r="N107"/>
  <c r="J21"/>
  <c r="J27" s="1"/>
  <c r="F20"/>
  <c r="H40" s="1"/>
  <c r="H46" s="1"/>
  <c r="J69"/>
  <c r="L13"/>
  <c r="J20" s="1"/>
  <c r="J13"/>
  <c r="H13"/>
  <c r="N7"/>
  <c r="L109" l="1"/>
  <c r="N109" s="1"/>
  <c r="N133"/>
  <c r="F146"/>
  <c r="F149" s="1"/>
  <c r="N149" s="1"/>
  <c r="F136"/>
  <c r="N136" s="1"/>
  <c r="L83"/>
  <c r="H20"/>
  <c r="N20" s="1"/>
  <c r="N108"/>
  <c r="L69"/>
  <c r="N13"/>
  <c r="N9"/>
  <c r="R10" s="1"/>
  <c r="N83" l="1"/>
  <c r="N110"/>
  <c r="N111" s="1"/>
  <c r="L97"/>
  <c r="L98" s="1"/>
  <c r="D151"/>
  <c r="N151" s="1"/>
  <c r="N146"/>
  <c r="N185" s="1"/>
  <c r="R186" s="1"/>
  <c r="N21"/>
  <c r="N22" s="1"/>
  <c r="R23" s="1"/>
  <c r="H27"/>
  <c r="N27" s="1"/>
  <c r="N28" s="1"/>
  <c r="R29" s="1"/>
  <c r="L84"/>
  <c r="J89"/>
  <c r="N89" s="1"/>
  <c r="N90" s="1"/>
  <c r="N91" s="1"/>
  <c r="N14"/>
  <c r="R15" s="1"/>
  <c r="N40"/>
  <c r="N41" s="1"/>
  <c r="N42" s="1"/>
  <c r="H52"/>
  <c r="I6" i="10" l="1"/>
  <c r="R34" i="6"/>
  <c r="N137"/>
  <c r="N84"/>
  <c r="L85"/>
  <c r="N85" s="1"/>
  <c r="R35"/>
  <c r="H57"/>
  <c r="N52"/>
  <c r="N53" s="1"/>
  <c r="N54" s="1"/>
  <c r="N46"/>
  <c r="N6" i="10" l="1"/>
  <c r="P6" s="1"/>
  <c r="P10" s="1"/>
  <c r="C9" i="11"/>
  <c r="R79" i="6"/>
  <c r="R80" s="1"/>
  <c r="N86"/>
  <c r="N87" s="1"/>
  <c r="N57"/>
  <c r="H62"/>
  <c r="I9" i="11" l="1"/>
  <c r="I13" s="1"/>
  <c r="C17" s="1"/>
  <c r="H18" s="1"/>
  <c r="J10"/>
  <c r="J13" s="1"/>
  <c r="C20" s="1"/>
  <c r="H21" s="1"/>
  <c r="R89" i="9"/>
  <c r="R123" s="1"/>
  <c r="R124" s="1"/>
  <c r="R159" s="1"/>
  <c r="R160" s="1"/>
  <c r="R200" s="1"/>
  <c r="R201" s="1"/>
  <c r="R235" s="1"/>
  <c r="N62" i="6"/>
  <c r="N63" s="1"/>
  <c r="N64" s="1"/>
  <c r="H68"/>
  <c r="N58"/>
  <c r="N59" s="1"/>
  <c r="H69" l="1"/>
  <c r="N69" s="1"/>
  <c r="N68"/>
  <c r="L223" i="7"/>
  <c r="L244" s="1"/>
  <c r="H210"/>
  <c r="N210" s="1"/>
  <c r="N211" s="1"/>
  <c r="R212" s="1"/>
  <c r="F193"/>
  <c r="N193" s="1"/>
  <c r="N194" s="1"/>
  <c r="R195" s="1"/>
  <c r="H178"/>
  <c r="J186" s="1"/>
  <c r="N186" s="1"/>
  <c r="N177"/>
  <c r="N176"/>
  <c r="L175"/>
  <c r="L171"/>
  <c r="N169"/>
  <c r="N170" s="1"/>
  <c r="L156"/>
  <c r="L151"/>
  <c r="L152" s="1"/>
  <c r="N149"/>
  <c r="F145"/>
  <c r="N145" s="1"/>
  <c r="L137"/>
  <c r="L138" s="1"/>
  <c r="L136"/>
  <c r="J138" s="1"/>
  <c r="J136"/>
  <c r="H152" s="1"/>
  <c r="L135"/>
  <c r="J135"/>
  <c r="H151" s="1"/>
  <c r="N134"/>
  <c r="L132"/>
  <c r="L131"/>
  <c r="H147" s="1"/>
  <c r="N147" s="1"/>
  <c r="L130"/>
  <c r="F130"/>
  <c r="L113"/>
  <c r="L112"/>
  <c r="N112" s="1"/>
  <c r="J112"/>
  <c r="J114" s="1"/>
  <c r="L109"/>
  <c r="L108"/>
  <c r="J137" s="1"/>
  <c r="J108"/>
  <c r="J110" s="1"/>
  <c r="L102"/>
  <c r="J101" s="1"/>
  <c r="L101"/>
  <c r="J102" s="1"/>
  <c r="J100"/>
  <c r="N100" s="1"/>
  <c r="J99"/>
  <c r="N99" s="1"/>
  <c r="L97"/>
  <c r="L96"/>
  <c r="J95"/>
  <c r="J97" s="1"/>
  <c r="J94"/>
  <c r="J96" s="1"/>
  <c r="N92"/>
  <c r="N91"/>
  <c r="L80"/>
  <c r="J79" s="1"/>
  <c r="L79"/>
  <c r="J80" s="1"/>
  <c r="L78"/>
  <c r="J77" s="1"/>
  <c r="L77"/>
  <c r="L76"/>
  <c r="J75" s="1"/>
  <c r="L75"/>
  <c r="J76" s="1"/>
  <c r="J74"/>
  <c r="N74" s="1"/>
  <c r="J73"/>
  <c r="N73" s="1"/>
  <c r="L68"/>
  <c r="J67" s="1"/>
  <c r="L67"/>
  <c r="L66"/>
  <c r="J65" s="1"/>
  <c r="L65"/>
  <c r="L64"/>
  <c r="J63" s="1"/>
  <c r="L63"/>
  <c r="J62"/>
  <c r="N62" s="1"/>
  <c r="J61"/>
  <c r="N61" s="1"/>
  <c r="J54"/>
  <c r="H54"/>
  <c r="L51"/>
  <c r="H51"/>
  <c r="N50"/>
  <c r="R42"/>
  <c r="R43" s="1"/>
  <c r="R87" s="1"/>
  <c r="R88" s="1"/>
  <c r="J38"/>
  <c r="N38" s="1"/>
  <c r="N39" s="1"/>
  <c r="N40" s="1"/>
  <c r="L33"/>
  <c r="N33" s="1"/>
  <c r="N32"/>
  <c r="J28"/>
  <c r="N28" s="1"/>
  <c r="N29" s="1"/>
  <c r="N30" s="1"/>
  <c r="L23"/>
  <c r="N23" s="1"/>
  <c r="N22"/>
  <c r="J16"/>
  <c r="H16"/>
  <c r="N12"/>
  <c r="N13" s="1"/>
  <c r="N14" s="1"/>
  <c r="L173" i="6"/>
  <c r="A1" i="4"/>
  <c r="H211" i="6"/>
  <c r="H171"/>
  <c r="N135" i="7" l="1"/>
  <c r="N70" i="6"/>
  <c r="N137" i="7"/>
  <c r="N51"/>
  <c r="N52" s="1"/>
  <c r="N53" s="1"/>
  <c r="N65"/>
  <c r="N79"/>
  <c r="J66"/>
  <c r="N66" s="1"/>
  <c r="L133"/>
  <c r="L150" s="1"/>
  <c r="N150" s="1"/>
  <c r="N54"/>
  <c r="N55" s="1"/>
  <c r="N56" s="1"/>
  <c r="N75"/>
  <c r="N101"/>
  <c r="R171"/>
  <c r="N16"/>
  <c r="N17" s="1"/>
  <c r="N18" s="1"/>
  <c r="N130"/>
  <c r="N102"/>
  <c r="N132"/>
  <c r="J153"/>
  <c r="N178"/>
  <c r="N63"/>
  <c r="N67"/>
  <c r="N77"/>
  <c r="J151"/>
  <c r="H153" s="1"/>
  <c r="L24"/>
  <c r="N24" s="1"/>
  <c r="N25" s="1"/>
  <c r="N26" s="1"/>
  <c r="N97"/>
  <c r="L114"/>
  <c r="J113" s="1"/>
  <c r="N113" s="1"/>
  <c r="J175"/>
  <c r="N175" s="1"/>
  <c r="J154"/>
  <c r="H203"/>
  <c r="N203" s="1"/>
  <c r="N204" s="1"/>
  <c r="R205" s="1"/>
  <c r="N76"/>
  <c r="N80"/>
  <c r="N94"/>
  <c r="J107"/>
  <c r="N107" s="1"/>
  <c r="N108"/>
  <c r="L110"/>
  <c r="L231"/>
  <c r="L153"/>
  <c r="N96"/>
  <c r="N138"/>
  <c r="J152"/>
  <c r="H154" s="1"/>
  <c r="H218"/>
  <c r="N218" s="1"/>
  <c r="N219" s="1"/>
  <c r="R220" s="1"/>
  <c r="L34"/>
  <c r="N34" s="1"/>
  <c r="N35" s="1"/>
  <c r="N36" s="1"/>
  <c r="J64"/>
  <c r="N64" s="1"/>
  <c r="J68"/>
  <c r="N68" s="1"/>
  <c r="J78"/>
  <c r="N78" s="1"/>
  <c r="N95"/>
  <c r="J111"/>
  <c r="N111" s="1"/>
  <c r="N131"/>
  <c r="H148"/>
  <c r="N148" s="1"/>
  <c r="N136"/>
  <c r="H170" i="6"/>
  <c r="N151" i="7" l="1"/>
  <c r="J224"/>
  <c r="L185" s="1"/>
  <c r="N185" s="1"/>
  <c r="N133"/>
  <c r="N139" s="1"/>
  <c r="R140" s="1"/>
  <c r="N179"/>
  <c r="J223" s="1"/>
  <c r="J244" s="1"/>
  <c r="J231" s="1"/>
  <c r="N231" s="1"/>
  <c r="N114"/>
  <c r="N110"/>
  <c r="J109"/>
  <c r="N109" s="1"/>
  <c r="L154"/>
  <c r="N154" s="1"/>
  <c r="N153"/>
  <c r="N152"/>
  <c r="R266" i="6"/>
  <c r="R257"/>
  <c r="R246"/>
  <c r="R229"/>
  <c r="N218"/>
  <c r="N211"/>
  <c r="N210"/>
  <c r="N208"/>
  <c r="N171"/>
  <c r="N170"/>
  <c r="N139"/>
  <c r="N138"/>
  <c r="J101"/>
  <c r="N101" s="1"/>
  <c r="N102" s="1"/>
  <c r="N97"/>
  <c r="N96"/>
  <c r="J49" i="5"/>
  <c r="J48"/>
  <c r="J58"/>
  <c r="N58" s="1"/>
  <c r="J57"/>
  <c r="N57" s="1"/>
  <c r="J69"/>
  <c r="J71" s="1"/>
  <c r="J78"/>
  <c r="N78" s="1"/>
  <c r="J77"/>
  <c r="N77" s="1"/>
  <c r="L80"/>
  <c r="L79"/>
  <c r="N108"/>
  <c r="N117"/>
  <c r="J16"/>
  <c r="J38"/>
  <c r="N38" s="1"/>
  <c r="N39" s="1"/>
  <c r="N40" s="1"/>
  <c r="J28"/>
  <c r="N28" s="1"/>
  <c r="N29" s="1"/>
  <c r="N30" s="1"/>
  <c r="L33"/>
  <c r="L34" s="1"/>
  <c r="N34" s="1"/>
  <c r="N32"/>
  <c r="L173"/>
  <c r="H159"/>
  <c r="N159" s="1"/>
  <c r="N160" s="1"/>
  <c r="R161" s="1"/>
  <c r="N151"/>
  <c r="N152" s="1"/>
  <c r="R153" s="1"/>
  <c r="H145"/>
  <c r="N145" s="1"/>
  <c r="N146" s="1"/>
  <c r="R147" s="1"/>
  <c r="N139"/>
  <c r="N140" s="1"/>
  <c r="R141" s="1"/>
  <c r="N132"/>
  <c r="N120"/>
  <c r="N119"/>
  <c r="N118"/>
  <c r="N109"/>
  <c r="N107"/>
  <c r="H106"/>
  <c r="N106" s="1"/>
  <c r="F104"/>
  <c r="N104" s="1"/>
  <c r="L97"/>
  <c r="J110" s="1"/>
  <c r="J97"/>
  <c r="H110" s="1"/>
  <c r="L96"/>
  <c r="N96" s="1"/>
  <c r="N95"/>
  <c r="N94"/>
  <c r="F93"/>
  <c r="N93" s="1"/>
  <c r="L71"/>
  <c r="J70" s="1"/>
  <c r="L70"/>
  <c r="L69"/>
  <c r="J68" s="1"/>
  <c r="N68" s="1"/>
  <c r="L64"/>
  <c r="J63" s="1"/>
  <c r="L63"/>
  <c r="J64" s="1"/>
  <c r="L62"/>
  <c r="J61" s="1"/>
  <c r="L61"/>
  <c r="J62" s="1"/>
  <c r="L60"/>
  <c r="J59" s="1"/>
  <c r="L59"/>
  <c r="J60" s="1"/>
  <c r="J52"/>
  <c r="N52" s="1"/>
  <c r="N53" s="1"/>
  <c r="N54" s="1"/>
  <c r="L49"/>
  <c r="N49" s="1"/>
  <c r="N48"/>
  <c r="L23"/>
  <c r="N23" s="1"/>
  <c r="N22"/>
  <c r="H16"/>
  <c r="N12"/>
  <c r="N13" s="1"/>
  <c r="N14" s="1"/>
  <c r="N12" i="3"/>
  <c r="L63"/>
  <c r="L61"/>
  <c r="R44"/>
  <c r="R45" s="1"/>
  <c r="H156"/>
  <c r="N156" s="1"/>
  <c r="H142"/>
  <c r="N136"/>
  <c r="J106"/>
  <c r="F94"/>
  <c r="N94" s="1"/>
  <c r="N99"/>
  <c r="N98"/>
  <c r="N97"/>
  <c r="H96"/>
  <c r="N96" s="1"/>
  <c r="L79"/>
  <c r="J79"/>
  <c r="L78"/>
  <c r="N77"/>
  <c r="F75"/>
  <c r="H16"/>
  <c r="N103" i="6" l="1"/>
  <c r="N71"/>
  <c r="N224" i="7"/>
  <c r="J79" i="5"/>
  <c r="N79" s="1"/>
  <c r="N223" i="7"/>
  <c r="J245"/>
  <c r="J232" s="1"/>
  <c r="N232" s="1"/>
  <c r="N233" s="1"/>
  <c r="R234" s="1"/>
  <c r="N244"/>
  <c r="N115"/>
  <c r="N116" s="1"/>
  <c r="N118" s="1"/>
  <c r="N119" s="1"/>
  <c r="N120" s="1"/>
  <c r="N121" s="1"/>
  <c r="R122" s="1"/>
  <c r="R125" s="1"/>
  <c r="R126" s="1"/>
  <c r="N180"/>
  <c r="L184" s="1"/>
  <c r="N184" s="1"/>
  <c r="N187" s="1"/>
  <c r="R188" s="1"/>
  <c r="N155"/>
  <c r="R156" s="1"/>
  <c r="N172" i="6"/>
  <c r="N98"/>
  <c r="N99" s="1"/>
  <c r="N100" s="1"/>
  <c r="N33" i="5"/>
  <c r="J80"/>
  <c r="N61"/>
  <c r="N64"/>
  <c r="N69"/>
  <c r="N59"/>
  <c r="N62"/>
  <c r="N60"/>
  <c r="N63"/>
  <c r="N80"/>
  <c r="J116"/>
  <c r="N116" s="1"/>
  <c r="N121" s="1"/>
  <c r="J166" s="1"/>
  <c r="N110"/>
  <c r="N111" s="1"/>
  <c r="R112" s="1"/>
  <c r="L24"/>
  <c r="N24" s="1"/>
  <c r="N25" s="1"/>
  <c r="N26" s="1"/>
  <c r="N71"/>
  <c r="N16"/>
  <c r="N17" s="1"/>
  <c r="N18" s="1"/>
  <c r="N35"/>
  <c r="N36" s="1"/>
  <c r="N70"/>
  <c r="N97"/>
  <c r="N98" s="1"/>
  <c r="R99" s="1"/>
  <c r="N50"/>
  <c r="N51" s="1"/>
  <c r="N100" i="3"/>
  <c r="L179"/>
  <c r="L56"/>
  <c r="L55"/>
  <c r="L54"/>
  <c r="L53"/>
  <c r="L52"/>
  <c r="L51"/>
  <c r="N157"/>
  <c r="R158" s="1"/>
  <c r="N109"/>
  <c r="N108"/>
  <c r="N107"/>
  <c r="N245" i="7" l="1"/>
  <c r="N246" s="1"/>
  <c r="R247" s="1"/>
  <c r="N140" i="6"/>
  <c r="R141" s="1"/>
  <c r="N47"/>
  <c r="N48" s="1"/>
  <c r="N121" s="1"/>
  <c r="N225" i="7"/>
  <c r="R226" s="1"/>
  <c r="N81" i="5"/>
  <c r="R181" i="7"/>
  <c r="R164"/>
  <c r="R165" s="1"/>
  <c r="N201" i="6"/>
  <c r="N72" i="5"/>
  <c r="N73" s="1"/>
  <c r="N83" s="1"/>
  <c r="N84" s="1"/>
  <c r="N85" s="1"/>
  <c r="N86" s="1"/>
  <c r="R87" s="1"/>
  <c r="N122"/>
  <c r="L131" s="1"/>
  <c r="N131" s="1"/>
  <c r="N133" s="1"/>
  <c r="R134" s="1"/>
  <c r="J173"/>
  <c r="N173" s="1"/>
  <c r="N174" s="1"/>
  <c r="R175" s="1"/>
  <c r="N166"/>
  <c r="N167" s="1"/>
  <c r="R168" s="1"/>
  <c r="N13" i="3"/>
  <c r="N51"/>
  <c r="N52"/>
  <c r="N53"/>
  <c r="N54"/>
  <c r="N55"/>
  <c r="N56"/>
  <c r="N49"/>
  <c r="J63"/>
  <c r="J62"/>
  <c r="L62"/>
  <c r="N61"/>
  <c r="N60"/>
  <c r="N16"/>
  <c r="J40"/>
  <c r="N40" s="1"/>
  <c r="N41" s="1"/>
  <c r="N42" s="1"/>
  <c r="L36"/>
  <c r="N36" s="1"/>
  <c r="N35"/>
  <c r="J28"/>
  <c r="N28" s="1"/>
  <c r="N29" s="1"/>
  <c r="N30" s="1"/>
  <c r="L23"/>
  <c r="N22"/>
  <c r="N212" i="6" l="1"/>
  <c r="J286" s="1"/>
  <c r="N286" s="1"/>
  <c r="N122"/>
  <c r="R198" i="7"/>
  <c r="R199" s="1"/>
  <c r="R239" s="1"/>
  <c r="R240" s="1"/>
  <c r="R248" s="1"/>
  <c r="R249" s="1"/>
  <c r="C5" i="4" s="1"/>
  <c r="N82" i="5"/>
  <c r="R123"/>
  <c r="N50" i="3"/>
  <c r="N62"/>
  <c r="N63"/>
  <c r="N17"/>
  <c r="N18" s="1"/>
  <c r="N37"/>
  <c r="N38" s="1"/>
  <c r="N23"/>
  <c r="L24"/>
  <c r="N24" s="1"/>
  <c r="N213" i="6" l="1"/>
  <c r="L217" s="1"/>
  <c r="N217" s="1"/>
  <c r="N219" s="1"/>
  <c r="R220" s="1"/>
  <c r="R173"/>
  <c r="N64" i="3"/>
  <c r="N65" s="1"/>
  <c r="N25"/>
  <c r="R214" i="6" l="1"/>
  <c r="N287"/>
  <c r="R288" s="1"/>
  <c r="N123"/>
  <c r="R124" s="1"/>
  <c r="R127" s="1"/>
  <c r="N117" i="3"/>
  <c r="R128" i="6" l="1"/>
  <c r="R166" s="1"/>
  <c r="N14" i="3"/>
  <c r="N75" l="1"/>
  <c r="N148" l="1"/>
  <c r="N142"/>
  <c r="N79" l="1"/>
  <c r="N76" l="1"/>
  <c r="N78" l="1"/>
  <c r="N80" s="1"/>
  <c r="N149" l="1"/>
  <c r="R150" l="1"/>
  <c r="N106" l="1"/>
  <c r="N110" s="1"/>
  <c r="N111" l="1"/>
  <c r="L116" s="1"/>
  <c r="J172"/>
  <c r="J179" s="1"/>
  <c r="N172" l="1"/>
  <c r="R112"/>
  <c r="N143"/>
  <c r="R144" s="1"/>
  <c r="N179" l="1"/>
  <c r="N180" s="1"/>
  <c r="R181" s="1"/>
  <c r="R101"/>
  <c r="N137"/>
  <c r="R138" s="1"/>
  <c r="N116" l="1"/>
  <c r="N118" s="1"/>
  <c r="R119" s="1"/>
  <c r="N173"/>
  <c r="R174" s="1"/>
  <c r="R81"/>
  <c r="N731" i="1" l="1"/>
  <c r="N730"/>
  <c r="N729"/>
  <c r="N728"/>
  <c r="J725"/>
  <c r="P569"/>
  <c r="P571"/>
  <c r="P532"/>
  <c r="P536"/>
  <c r="P535"/>
  <c r="P534"/>
  <c r="P531"/>
  <c r="P547"/>
  <c r="P546"/>
  <c r="P556"/>
  <c r="P555"/>
  <c r="P554"/>
  <c r="P582"/>
  <c r="P580"/>
  <c r="P579"/>
  <c r="P578"/>
  <c r="P577"/>
  <c r="P576"/>
  <c r="P575"/>
  <c r="P574"/>
  <c r="P573"/>
  <c r="P606"/>
  <c r="P602"/>
  <c r="P604"/>
  <c r="P600"/>
  <c r="P649"/>
  <c r="P643"/>
  <c r="P642"/>
  <c r="P641"/>
  <c r="P640"/>
  <c r="P639"/>
  <c r="P638"/>
  <c r="P637"/>
  <c r="J471"/>
  <c r="P291"/>
  <c r="P290"/>
  <c r="P300"/>
  <c r="P299"/>
  <c r="P298"/>
  <c r="P13"/>
  <c r="P14"/>
  <c r="P16"/>
  <c r="P17"/>
  <c r="P18"/>
  <c r="P26"/>
  <c r="P28"/>
  <c r="P29"/>
  <c r="P36"/>
  <c r="P37"/>
  <c r="P38"/>
  <c r="P53"/>
  <c r="P55"/>
  <c r="P57"/>
  <c r="P58"/>
  <c r="P59"/>
  <c r="P60"/>
  <c r="P61"/>
  <c r="P62"/>
  <c r="P63"/>
  <c r="P65"/>
  <c r="J75"/>
  <c r="T77" s="1"/>
  <c r="P83"/>
  <c r="P85"/>
  <c r="P86"/>
  <c r="P88"/>
  <c r="P91"/>
  <c r="P102"/>
  <c r="P104"/>
  <c r="P106"/>
  <c r="P114"/>
  <c r="P115"/>
  <c r="P116"/>
  <c r="P117"/>
  <c r="P118"/>
  <c r="P119"/>
  <c r="P120"/>
  <c r="P121"/>
  <c r="P122"/>
  <c r="P123"/>
  <c r="P124"/>
  <c r="P125"/>
  <c r="P126"/>
  <c r="P142"/>
  <c r="J726"/>
  <c r="F734" s="1"/>
  <c r="N198"/>
  <c r="N199"/>
  <c r="N200"/>
  <c r="N201"/>
  <c r="J195"/>
  <c r="J196" s="1"/>
  <c r="F204" s="1"/>
  <c r="M523" i="2"/>
  <c r="M525"/>
  <c r="K338"/>
  <c r="T339" s="1"/>
  <c r="T345"/>
  <c r="I353"/>
  <c r="T354" s="1"/>
  <c r="I362"/>
  <c r="I364" s="1"/>
  <c r="T365" s="1"/>
  <c r="I375"/>
  <c r="T376" s="1"/>
  <c r="I382"/>
  <c r="I395" s="1"/>
  <c r="M415"/>
  <c r="M438" s="1"/>
  <c r="M427"/>
  <c r="M428"/>
  <c r="M465"/>
  <c r="M466"/>
  <c r="M467"/>
  <c r="G247"/>
  <c r="M247" s="1"/>
  <c r="J256" s="1"/>
  <c r="E257" s="1"/>
  <c r="L257" s="1"/>
  <c r="L20"/>
  <c r="J74" s="1"/>
  <c r="N74" s="1"/>
  <c r="L25"/>
  <c r="T26" s="1"/>
  <c r="L30"/>
  <c r="J76" s="1"/>
  <c r="N76" s="1"/>
  <c r="L62"/>
  <c r="T63" s="1"/>
  <c r="N82"/>
  <c r="N83"/>
  <c r="L67"/>
  <c r="T68" s="1"/>
  <c r="P275" i="1"/>
  <c r="P276"/>
  <c r="P278"/>
  <c r="P279"/>
  <c r="P280"/>
  <c r="P288"/>
  <c r="P316"/>
  <c r="P318"/>
  <c r="P320"/>
  <c r="P321"/>
  <c r="P322"/>
  <c r="P323"/>
  <c r="P324"/>
  <c r="P325"/>
  <c r="P326"/>
  <c r="P327"/>
  <c r="P328"/>
  <c r="P330"/>
  <c r="J338"/>
  <c r="T340" s="1"/>
  <c r="P346"/>
  <c r="P348"/>
  <c r="P350"/>
  <c r="P352"/>
  <c r="P364"/>
  <c r="P372"/>
  <c r="P374"/>
  <c r="P376"/>
  <c r="P384"/>
  <c r="P385"/>
  <c r="P386"/>
  <c r="P387"/>
  <c r="P388"/>
  <c r="P389"/>
  <c r="P390"/>
  <c r="P391"/>
  <c r="P392"/>
  <c r="P393"/>
  <c r="P394"/>
  <c r="P395"/>
  <c r="P396"/>
  <c r="P397"/>
  <c r="P398"/>
  <c r="P544"/>
  <c r="J591"/>
  <c r="T593" s="1"/>
  <c r="P617"/>
  <c r="P625"/>
  <c r="P627"/>
  <c r="P629"/>
  <c r="H644"/>
  <c r="P644" s="1"/>
  <c r="I171" i="2"/>
  <c r="P171" s="1"/>
  <c r="I172"/>
  <c r="P172" s="1"/>
  <c r="I176"/>
  <c r="P176" s="1"/>
  <c r="I177"/>
  <c r="P177" s="1"/>
  <c r="N474" i="1"/>
  <c r="N475"/>
  <c r="J472"/>
  <c r="T150" i="2"/>
  <c r="T155"/>
  <c r="T160"/>
  <c r="T165"/>
  <c r="J46"/>
  <c r="N47" s="1"/>
  <c r="J50"/>
  <c r="N51" s="1"/>
  <c r="J54"/>
  <c r="N55" s="1"/>
  <c r="L12"/>
  <c r="L14"/>
  <c r="P378" i="1"/>
  <c r="T379" s="1"/>
  <c r="H645"/>
  <c r="P645" s="1"/>
  <c r="P557" l="1"/>
  <c r="L15" i="2"/>
  <c r="T16" s="1"/>
  <c r="P108" i="1"/>
  <c r="T109" s="1"/>
  <c r="P39"/>
  <c r="H135" s="1"/>
  <c r="P292"/>
  <c r="P607"/>
  <c r="P619" s="1"/>
  <c r="H670" s="1"/>
  <c r="P670" s="1"/>
  <c r="P537"/>
  <c r="T538" s="1"/>
  <c r="P30"/>
  <c r="T31" s="1"/>
  <c r="T31" i="2"/>
  <c r="N476" i="1"/>
  <c r="P89"/>
  <c r="P93" s="1"/>
  <c r="P127"/>
  <c r="H143" s="1"/>
  <c r="P143" s="1"/>
  <c r="P64"/>
  <c r="P67" s="1"/>
  <c r="T68" s="1"/>
  <c r="J592"/>
  <c r="P548"/>
  <c r="P353"/>
  <c r="P362" s="1"/>
  <c r="P329"/>
  <c r="P332" s="1"/>
  <c r="H422" s="1"/>
  <c r="P422" s="1"/>
  <c r="P19"/>
  <c r="T20" s="1"/>
  <c r="J84" i="2"/>
  <c r="N84" s="1"/>
  <c r="J77"/>
  <c r="N77" s="1"/>
  <c r="T367"/>
  <c r="T370" s="1"/>
  <c r="J339" i="1"/>
  <c r="T21" i="2"/>
  <c r="P399" i="1"/>
  <c r="T400" s="1"/>
  <c r="P281"/>
  <c r="T282" s="1"/>
  <c r="J75" i="2"/>
  <c r="N75" s="1"/>
  <c r="N78" s="1"/>
  <c r="N202" i="1"/>
  <c r="L204" s="1"/>
  <c r="P301"/>
  <c r="P581"/>
  <c r="P584" s="1"/>
  <c r="H669" s="1"/>
  <c r="P669" s="1"/>
  <c r="F478"/>
  <c r="J76"/>
  <c r="M526" i="2"/>
  <c r="M527" s="1"/>
  <c r="M535" s="1"/>
  <c r="H667" i="1"/>
  <c r="P667" s="1"/>
  <c r="T549"/>
  <c r="I419" i="2"/>
  <c r="M422" s="1"/>
  <c r="I401"/>
  <c r="T402" s="1"/>
  <c r="I442"/>
  <c r="T396"/>
  <c r="J478" i="1"/>
  <c r="T478" s="1"/>
  <c r="J734"/>
  <c r="J204"/>
  <c r="T204" s="1"/>
  <c r="T293"/>
  <c r="H414"/>
  <c r="P414" s="1"/>
  <c r="T558"/>
  <c r="H668"/>
  <c r="P668" s="1"/>
  <c r="H421"/>
  <c r="P421" s="1"/>
  <c r="H415"/>
  <c r="P415" s="1"/>
  <c r="T302"/>
  <c r="H137"/>
  <c r="P137" s="1"/>
  <c r="T94"/>
  <c r="H134"/>
  <c r="P134" s="1"/>
  <c r="P366"/>
  <c r="T128"/>
  <c r="J81" i="2"/>
  <c r="N81" s="1"/>
  <c r="N85" s="1"/>
  <c r="J120" s="1"/>
  <c r="T121" s="1"/>
  <c r="T383"/>
  <c r="P631" i="1"/>
  <c r="T632" s="1"/>
  <c r="I389" i="2"/>
  <c r="T390" s="1"/>
  <c r="H646" i="1"/>
  <c r="M468" i="2"/>
  <c r="K484" s="1"/>
  <c r="T485" s="1"/>
  <c r="N732" i="1"/>
  <c r="L734" s="1"/>
  <c r="T734" s="1"/>
  <c r="P178" i="2"/>
  <c r="P135" i="1"/>
  <c r="H141"/>
  <c r="P141" s="1"/>
  <c r="P144" s="1"/>
  <c r="M270" i="2"/>
  <c r="M298" s="1"/>
  <c r="T258"/>
  <c r="M266"/>
  <c r="M283"/>
  <c r="M420"/>
  <c r="M421"/>
  <c r="M548"/>
  <c r="K575"/>
  <c r="T576" s="1"/>
  <c r="K579"/>
  <c r="T580" s="1"/>
  <c r="N56"/>
  <c r="N57" s="1"/>
  <c r="T58" s="1"/>
  <c r="P173"/>
  <c r="M538"/>
  <c r="H423" i="1"/>
  <c r="P423" s="1"/>
  <c r="T40"/>
  <c r="T249" i="2"/>
  <c r="M444"/>
  <c r="M426"/>
  <c r="T528"/>
  <c r="T620" i="1"/>
  <c r="I248" i="2"/>
  <c r="T561" i="1" l="1"/>
  <c r="T567" s="1"/>
  <c r="P615"/>
  <c r="H136"/>
  <c r="P136" s="1"/>
  <c r="P138" s="1"/>
  <c r="K154" s="1"/>
  <c r="T37" i="2"/>
  <c r="H675" i="1"/>
  <c r="P675" s="1"/>
  <c r="T43"/>
  <c r="T50" s="1"/>
  <c r="T96" s="1"/>
  <c r="T99" s="1"/>
  <c r="T147" s="1"/>
  <c r="T151" s="1"/>
  <c r="D470" i="2"/>
  <c r="L470" s="1"/>
  <c r="T471" s="1"/>
  <c r="T585" i="1"/>
  <c r="T608" s="1"/>
  <c r="T613" s="1"/>
  <c r="H416"/>
  <c r="P416" s="1"/>
  <c r="T305"/>
  <c r="T314" s="1"/>
  <c r="T404" i="2"/>
  <c r="T411" s="1"/>
  <c r="P424" i="1"/>
  <c r="K428" s="1"/>
  <c r="N449" s="1"/>
  <c r="T333"/>
  <c r="M445" i="2"/>
  <c r="M443"/>
  <c r="E108"/>
  <c r="N108" s="1"/>
  <c r="T109" s="1"/>
  <c r="N106"/>
  <c r="E112"/>
  <c r="N112" s="1"/>
  <c r="T113" s="1"/>
  <c r="H86"/>
  <c r="P671" i="1"/>
  <c r="K680" s="1"/>
  <c r="N690" s="1"/>
  <c r="D474" i="2"/>
  <c r="L474" s="1"/>
  <c r="T475" s="1"/>
  <c r="H417" i="1"/>
  <c r="P417" s="1"/>
  <c r="T367"/>
  <c r="P646"/>
  <c r="H647"/>
  <c r="H674"/>
  <c r="P674" s="1"/>
  <c r="J488"/>
  <c r="T489" s="1"/>
  <c r="D553" i="2"/>
  <c r="L553" s="1"/>
  <c r="T554" s="1"/>
  <c r="D549"/>
  <c r="L549" s="1"/>
  <c r="T550" s="1"/>
  <c r="D569"/>
  <c r="L569" s="1"/>
  <c r="T570" s="1"/>
  <c r="M564"/>
  <c r="D565"/>
  <c r="L565" s="1"/>
  <c r="T566" s="1"/>
  <c r="E179"/>
  <c r="D192"/>
  <c r="L192" s="1"/>
  <c r="T193" s="1"/>
  <c r="I213"/>
  <c r="T214" s="1"/>
  <c r="M190"/>
  <c r="D196"/>
  <c r="L196" s="1"/>
  <c r="T197" s="1"/>
  <c r="J215" i="1"/>
  <c r="T216" s="1"/>
  <c r="K155"/>
  <c r="N180" s="1"/>
  <c r="I179" i="2"/>
  <c r="D204"/>
  <c r="L204" s="1"/>
  <c r="T205" s="1"/>
  <c r="I216"/>
  <c r="T217" s="1"/>
  <c r="D208"/>
  <c r="L208" s="1"/>
  <c r="T209" s="1"/>
  <c r="M202"/>
  <c r="M429"/>
  <c r="T430" s="1"/>
  <c r="E100"/>
  <c r="N100" s="1"/>
  <c r="T101" s="1"/>
  <c r="F86"/>
  <c r="N94"/>
  <c r="E96"/>
  <c r="N96" s="1"/>
  <c r="T97" s="1"/>
  <c r="J117"/>
  <c r="T118" s="1"/>
  <c r="M539"/>
  <c r="T540" s="1"/>
  <c r="M269"/>
  <c r="M265"/>
  <c r="M282"/>
  <c r="T354" i="1" l="1"/>
  <c r="T360" s="1"/>
  <c r="J212"/>
  <c r="T213" s="1"/>
  <c r="T122" i="2"/>
  <c r="K125" s="1"/>
  <c r="P125" s="1"/>
  <c r="L179"/>
  <c r="T180" s="1"/>
  <c r="T182" s="1"/>
  <c r="T185" s="1"/>
  <c r="T219" s="1"/>
  <c r="J739" i="1"/>
  <c r="T740" s="1"/>
  <c r="P418"/>
  <c r="K427" s="1"/>
  <c r="N437" s="1"/>
  <c r="E439" s="1"/>
  <c r="N439" s="1"/>
  <c r="T440" s="1"/>
  <c r="M446" i="2"/>
  <c r="D448" s="1"/>
  <c r="L448" s="1"/>
  <c r="T449" s="1"/>
  <c r="T556"/>
  <c r="T560" s="1"/>
  <c r="T582" s="1"/>
  <c r="J86"/>
  <c r="T87" s="1"/>
  <c r="T88" s="1"/>
  <c r="P647" i="1"/>
  <c r="H648"/>
  <c r="P648" s="1"/>
  <c r="M271" i="2"/>
  <c r="T272" s="1"/>
  <c r="T274" s="1"/>
  <c r="T277" s="1"/>
  <c r="T403" i="1"/>
  <c r="T410" s="1"/>
  <c r="N165"/>
  <c r="K156"/>
  <c r="T157" s="1"/>
  <c r="E696"/>
  <c r="N696" s="1"/>
  <c r="T697" s="1"/>
  <c r="E692"/>
  <c r="N692" s="1"/>
  <c r="T693" s="1"/>
  <c r="E451"/>
  <c r="N451" s="1"/>
  <c r="T452" s="1"/>
  <c r="E455"/>
  <c r="N455" s="1"/>
  <c r="T456" s="1"/>
  <c r="E187"/>
  <c r="N187" s="1"/>
  <c r="T188" s="1"/>
  <c r="E183"/>
  <c r="N183" s="1"/>
  <c r="T184" s="1"/>
  <c r="M284" i="2"/>
  <c r="M297"/>
  <c r="M299" s="1"/>
  <c r="J485" i="1" l="1"/>
  <c r="T486" s="1"/>
  <c r="K429"/>
  <c r="T430" s="1"/>
  <c r="K480" i="2"/>
  <c r="T481" s="1"/>
  <c r="D452"/>
  <c r="L452" s="1"/>
  <c r="T453" s="1"/>
  <c r="T455" s="1"/>
  <c r="T461" s="1"/>
  <c r="T487" s="1"/>
  <c r="E443" i="1"/>
  <c r="N443" s="1"/>
  <c r="T444" s="1"/>
  <c r="P650"/>
  <c r="T651" s="1"/>
  <c r="T654" s="1"/>
  <c r="T663" s="1"/>
  <c r="D305" i="2"/>
  <c r="L305" s="1"/>
  <c r="T306" s="1"/>
  <c r="D301"/>
  <c r="L301" s="1"/>
  <c r="T302" s="1"/>
  <c r="K315"/>
  <c r="T316" s="1"/>
  <c r="D286"/>
  <c r="L286" s="1"/>
  <c r="T287" s="1"/>
  <c r="D290"/>
  <c r="L290" s="1"/>
  <c r="T291" s="1"/>
  <c r="K311"/>
  <c r="T312" s="1"/>
  <c r="E168" i="1"/>
  <c r="N168" s="1"/>
  <c r="T169" s="1"/>
  <c r="E172"/>
  <c r="N172" s="1"/>
  <c r="T173" s="1"/>
  <c r="T459" l="1"/>
  <c r="T467" s="1"/>
  <c r="T491" s="1"/>
  <c r="T493" s="1"/>
  <c r="T495" s="1"/>
  <c r="H676"/>
  <c r="P676" s="1"/>
  <c r="P677" s="1"/>
  <c r="K681" s="1"/>
  <c r="N702" s="1"/>
  <c r="T206"/>
  <c r="T209" s="1"/>
  <c r="T218" s="1"/>
  <c r="T220" s="1"/>
  <c r="T222" s="1"/>
  <c r="T318" i="2"/>
  <c r="J742" i="1" l="1"/>
  <c r="T743" s="1"/>
  <c r="K682"/>
  <c r="T683" s="1"/>
  <c r="E704"/>
  <c r="N704" s="1"/>
  <c r="T705" s="1"/>
  <c r="E708"/>
  <c r="N708" s="1"/>
  <c r="T709" s="1"/>
  <c r="N26" i="3"/>
  <c r="N67" s="1"/>
  <c r="N68" s="1"/>
  <c r="T712" i="1" l="1"/>
  <c r="T720" s="1"/>
  <c r="T745" s="1"/>
  <c r="T747" s="1"/>
  <c r="T749" s="1"/>
  <c r="N69" i="3"/>
  <c r="N70" s="1"/>
  <c r="R71" s="1"/>
  <c r="R88" s="1"/>
  <c r="R89" l="1"/>
  <c r="R129" s="1"/>
  <c r="R130" s="1"/>
  <c r="R168" s="1"/>
  <c r="R169" s="1"/>
  <c r="R182" s="1"/>
  <c r="R183" s="1"/>
  <c r="R44" i="5" l="1"/>
  <c r="R89" s="1"/>
  <c r="R90" s="1"/>
  <c r="R128" s="1"/>
  <c r="R129" s="1"/>
  <c r="R162" l="1"/>
  <c r="R163" s="1"/>
  <c r="R176" l="1"/>
  <c r="R177" s="1"/>
  <c r="C6" i="4" l="1"/>
  <c r="C8" s="1"/>
  <c r="C7" l="1"/>
  <c r="C10" s="1"/>
  <c r="C11" s="1"/>
  <c r="C9" l="1"/>
  <c r="R167" i="6"/>
  <c r="R197" l="1"/>
  <c r="R198" s="1"/>
  <c r="R236" s="1"/>
  <c r="R237" s="1"/>
  <c r="R280" s="1"/>
  <c r="R281" s="1"/>
  <c r="R289" s="1"/>
  <c r="R290" s="1"/>
  <c r="R236" i="9" l="1"/>
  <c r="R244" s="1"/>
</calcChain>
</file>

<file path=xl/sharedStrings.xml><?xml version="1.0" encoding="utf-8"?>
<sst xmlns="http://schemas.openxmlformats.org/spreadsheetml/2006/main" count="5973" uniqueCount="668">
  <si>
    <t>=</t>
  </si>
  <si>
    <t>x</t>
  </si>
  <si>
    <t>F/W (D/S)</t>
  </si>
  <si>
    <t>F/W (U/S)</t>
  </si>
  <si>
    <t>C/Pit</t>
  </si>
  <si>
    <t>HP Bed</t>
  </si>
  <si>
    <t>Steps</t>
  </si>
  <si>
    <r>
      <t>m</t>
    </r>
    <r>
      <rPr>
        <vertAlign val="superscript"/>
        <sz val="10"/>
        <rFont val="Arial"/>
        <family val="2"/>
      </rPr>
      <t>3</t>
    </r>
  </si>
  <si>
    <t>Total</t>
  </si>
  <si>
    <t>@Rs</t>
  </si>
  <si>
    <r>
      <t>/m</t>
    </r>
    <r>
      <rPr>
        <vertAlign val="superscript"/>
        <sz val="10"/>
        <rFont val="Arial"/>
        <family val="2"/>
      </rPr>
      <t>3</t>
    </r>
  </si>
  <si>
    <t>Rs</t>
  </si>
  <si>
    <t xml:space="preserve">Deduct HP opening </t>
  </si>
  <si>
    <t>Rm</t>
  </si>
  <si>
    <t>+</t>
  </si>
  <si>
    <t>G/Walls</t>
  </si>
  <si>
    <r>
      <t>m</t>
    </r>
    <r>
      <rPr>
        <vertAlign val="superscript"/>
        <sz val="10"/>
        <rFont val="Arial"/>
        <family val="2"/>
      </rPr>
      <t>2</t>
    </r>
  </si>
  <si>
    <r>
      <t>/m</t>
    </r>
    <r>
      <rPr>
        <vertAlign val="superscript"/>
        <sz val="10"/>
        <rFont val="Arial"/>
        <family val="2"/>
      </rPr>
      <t>2</t>
    </r>
  </si>
  <si>
    <t>/Rm</t>
  </si>
  <si>
    <t>Carriage of Hume Pipe from factory to work site</t>
  </si>
  <si>
    <t>/Rm/Km</t>
  </si>
  <si>
    <t xml:space="preserve">                        @Rs</t>
  </si>
  <si>
    <t xml:space="preserve">              1st 10 Km @ Rs</t>
  </si>
  <si>
    <t xml:space="preserve">      Therefore, for </t>
  </si>
  <si>
    <t>C.O</t>
  </si>
  <si>
    <t>B.F</t>
  </si>
  <si>
    <t>TOTAL</t>
  </si>
  <si>
    <t>Above Pipe</t>
  </si>
  <si>
    <t>C/Pit Top</t>
  </si>
  <si>
    <t xml:space="preserve">              C.O</t>
  </si>
  <si>
    <t>Earthwork in excavation of foundation of structures as per drawing and technical specification of shoring and bracing, removal of stumps and other deleterious matter, dressing of sides and bottom, back filling the excavation earth to the extent required and utilising the remaining earth locally for road work</t>
  </si>
  <si>
    <t>A. Manual Means</t>
  </si>
  <si>
    <t xml:space="preserve">1/3.13   - 304 </t>
  </si>
  <si>
    <t>Dry boulder pitching in flooring</t>
  </si>
  <si>
    <t>Plain cement concrete 1:3:6 mix crushed stone aggregate 40mm nominal size mechanically mixed, placed in foundation and compacted by vibration including curing for 14 days.</t>
  </si>
  <si>
    <t>Random rubble masonry (coursed) in cement mortar 1:3 in foundation upto a depth of 1.50 m above Ground/Bed level.</t>
  </si>
  <si>
    <t>Laying reinforced cement concrete pipe NP4/ prestressed concrete pipe for culverts on first class bedding in granular material in single row including fixing collar with cement mortar 1:2 but excluding excavation, protection works, back filling, concrete and masonry works in head walls and parapets. (including cost of granular material and HP NP4)</t>
  </si>
  <si>
    <t>Providing and filling in foundation trenches and at the back of abutments, wing walls etc and below pipe bed in layers not exceeding 150 mm thick including watering and compacting including all lead and lifts.</t>
  </si>
  <si>
    <t>a. Filter media behind abutment, wing and return wall (Boulder filling)</t>
  </si>
  <si>
    <t>Construction of embankment with approved material obtained from borrow pits with all lifts and lead spreading grading to required slope and compacting to meet requirement of Table 300-2.</t>
  </si>
  <si>
    <t>Cement plaster 12 mm thick in cement mortar 1:3</t>
  </si>
  <si>
    <t>9/</t>
  </si>
  <si>
    <t>Loading and unloading of stone boulder/ sand by manual means.</t>
  </si>
  <si>
    <t>(i). STONE :- Quantity as per table above   =</t>
  </si>
  <si>
    <t>(ii). SAND :- Quantity as per table above     =</t>
  </si>
  <si>
    <t xml:space="preserve">        Total       =</t>
  </si>
  <si>
    <t>Cost of Haulage excluding Loading and Unloading.</t>
  </si>
  <si>
    <t xml:space="preserve">(i) Ordinary Soil. </t>
  </si>
  <si>
    <t>Deduct Pipe segment</t>
  </si>
  <si>
    <t xml:space="preserve">      Net Total</t>
  </si>
  <si>
    <t>C/P Sides</t>
  </si>
  <si>
    <t>C/P Bed</t>
  </si>
  <si>
    <t>Average lead  =  11.00 Km</t>
  </si>
  <si>
    <t>ie. 1.00 Km Rough Road &amp; 10.00 Km Surfaced Road</t>
  </si>
  <si>
    <t>Average lead  =  15 Km</t>
  </si>
  <si>
    <t>ie. 1.00 Km Rough Road &amp; 14.00 Km Surfaced Road</t>
  </si>
  <si>
    <t>Quantity of stone as per table above</t>
  </si>
  <si>
    <r>
      <t>m</t>
    </r>
    <r>
      <rPr>
        <vertAlign val="superscript"/>
        <sz val="10"/>
        <rFont val="Arial"/>
        <family val="2"/>
      </rPr>
      <t>3</t>
    </r>
  </si>
  <si>
    <t>t.km</t>
  </si>
  <si>
    <t>/t.km</t>
  </si>
  <si>
    <t>Case III - Kutcha Track.</t>
  </si>
  <si>
    <t>Quantity of sand as per table above</t>
  </si>
  <si>
    <r>
      <t>Considering Stone @ 2.40 tonnes/m</t>
    </r>
    <r>
      <rPr>
        <vertAlign val="superscript"/>
        <sz val="10"/>
        <rFont val="Arial"/>
        <family val="2"/>
      </rPr>
      <t>3</t>
    </r>
  </si>
  <si>
    <r>
      <t>Considering Sand @ 1.84 tonnes/m</t>
    </r>
    <r>
      <rPr>
        <vertAlign val="superscript"/>
        <sz val="10"/>
        <rFont val="Arial"/>
        <family val="2"/>
      </rPr>
      <t>3</t>
    </r>
  </si>
  <si>
    <t>A</t>
  </si>
  <si>
    <t xml:space="preserve"> 975 mm  dia.(Internal)</t>
  </si>
  <si>
    <t>Behind  F/W (U/S)</t>
  </si>
  <si>
    <t>Behind  F/W (D/S)</t>
  </si>
  <si>
    <t xml:space="preserve">       Net Total</t>
  </si>
  <si>
    <t>10.</t>
  </si>
  <si>
    <t>11.</t>
  </si>
  <si>
    <t>Forest royalty:</t>
  </si>
  <si>
    <t>(i). STONES : Quantity of stone</t>
  </si>
  <si>
    <r>
      <t>/m</t>
    </r>
    <r>
      <rPr>
        <vertAlign val="superscript"/>
        <sz val="10"/>
        <rFont val="Arial"/>
        <family val="2"/>
      </rPr>
      <t xml:space="preserve">3  </t>
    </r>
    <r>
      <rPr>
        <sz val="10"/>
        <rFont val="Arial"/>
        <family val="2"/>
      </rPr>
      <t>(inclusive of taxes)</t>
    </r>
  </si>
  <si>
    <t>(ii). SAND : Quantity of sand</t>
  </si>
  <si>
    <t xml:space="preserve">    </t>
  </si>
  <si>
    <t>Quantity C.O</t>
  </si>
  <si>
    <t>Quantity B.F</t>
  </si>
  <si>
    <t>Extra for carriage of sand,stone aggregates, stone chips and building stones   - - - - - - - etc.</t>
  </si>
  <si>
    <t>Length = 7.50 Rm</t>
  </si>
  <si>
    <t>TYPE - 3</t>
  </si>
  <si>
    <t>TYPE - 2</t>
  </si>
  <si>
    <t xml:space="preserve">(ii) Ordinary rock (not requiring blasting). </t>
  </si>
  <si>
    <t>ANALYSIS 0F STONE MASONRY SIDE DRAIN WITH R.C.C SLAB COVER</t>
  </si>
  <si>
    <t>Considering  10.00 m</t>
  </si>
  <si>
    <t>Foundation of side drain wall</t>
  </si>
  <si>
    <t>Foundation of side water way</t>
  </si>
  <si>
    <t>Dry boulder pitching in flooring etc.</t>
  </si>
  <si>
    <t>T</t>
  </si>
  <si>
    <t>2/7.10   - 1000/ 1400</t>
  </si>
  <si>
    <t>3/7.15    -2500</t>
  </si>
  <si>
    <t>4/7.2     - 408</t>
  </si>
  <si>
    <t>5/7.7  - 1000/ 1600</t>
  </si>
  <si>
    <t>Steel reinforcement for R.C.C. works including bending, binding and placing in position.</t>
  </si>
  <si>
    <t>b. Cold twisted bars.</t>
  </si>
  <si>
    <t>ø</t>
  </si>
  <si>
    <t xml:space="preserve">Top main bars :-  (10mm </t>
  </si>
  <si>
    <t xml:space="preserve"> @ 100mm c/c)</t>
  </si>
  <si>
    <t>@</t>
  </si>
  <si>
    <t>Kg/Rm</t>
  </si>
  <si>
    <t>Kg</t>
  </si>
  <si>
    <t xml:space="preserve">Distribution bars :-            (12mm </t>
  </si>
  <si>
    <t xml:space="preserve">Bottom main bars :-          (12mm </t>
  </si>
  <si>
    <t>Tonnes</t>
  </si>
  <si>
    <t>/tonnes</t>
  </si>
  <si>
    <t>6/7.5  - 1000/ 1700</t>
  </si>
  <si>
    <t>Reinforced cement concrete m15 mix with stone aggregates 20mm nominal size mechanically mixed and vibrated for for reinforced concrete work in slab excluding steel reinforcement, but including centering and shuttering laid in position.</t>
  </si>
  <si>
    <t>Cement plaster 12 mm thick in cement mortar 1:3 etc.</t>
  </si>
  <si>
    <t>7/7.13    - 1000/ 1300</t>
  </si>
  <si>
    <t>Loading and unloading.</t>
  </si>
  <si>
    <t>(a). STONE :</t>
  </si>
  <si>
    <t>(i) . Qnty as per item 2/7.10</t>
  </si>
  <si>
    <t>(ii). Qnty as per item 3/7.15</t>
  </si>
  <si>
    <t>(iiii). Qnty as per item 4/7.2</t>
  </si>
  <si>
    <t>(iv). Qnty as per item 6/7.5</t>
  </si>
  <si>
    <t>(b). SAND :</t>
  </si>
  <si>
    <t>(ii). Qnty as per item 4/7.2</t>
  </si>
  <si>
    <t>(iiii). Qnty as per item 6/7.5</t>
  </si>
  <si>
    <t>(iv). Qnty as per item 7/7.13</t>
  </si>
  <si>
    <t>Total of (a + b)</t>
  </si>
  <si>
    <t xml:space="preserve">              B.F</t>
  </si>
  <si>
    <t xml:space="preserve">9/1.3    </t>
  </si>
  <si>
    <t>Cost of haulage excluding loading and unloading.</t>
  </si>
  <si>
    <t>B. SAND: Quarry at Umtyngar.</t>
  </si>
  <si>
    <t>A. STONE: Quarry at 1.00 km away from11th Km of S-J Road (NH-44).</t>
  </si>
  <si>
    <t xml:space="preserve">           TOTAL</t>
  </si>
  <si>
    <t>DETAILED ESTIMATE FOR CONSTRUCTION OF RETAINING WALL</t>
  </si>
  <si>
    <t>2/7.8/   1000/ 1400</t>
  </si>
  <si>
    <t>Coursed rubble stone masonry in cement sand mortar 1:3 in foundation upto a depth of 1.50 metres and also 1.50 metres above ground/ bed level.</t>
  </si>
  <si>
    <t xml:space="preserve">3/7.16/ 1500(a) </t>
  </si>
  <si>
    <t>Filter media behind abutment wing and return wall (Boulrder filling).</t>
  </si>
  <si>
    <t xml:space="preserve">4/7.13/ 1000/ 1300 </t>
  </si>
  <si>
    <t>Cement plastering 12mm thick in cement mortar 1:3</t>
  </si>
  <si>
    <t>(i) . Qnty as per item 2/7.8      =</t>
  </si>
  <si>
    <t>(ii). Qnty as per item 3/7.16    =</t>
  </si>
  <si>
    <t>(ii). Qnty as per item 4/7.13    =</t>
  </si>
  <si>
    <t>Quantity of stone as per table above  =</t>
  </si>
  <si>
    <t>Quantity of sand as per table above  =</t>
  </si>
  <si>
    <t>(i).STONES : Quantity of stone =</t>
  </si>
  <si>
    <t>(ii). SAND : Quantity of sand    =</t>
  </si>
  <si>
    <t xml:space="preserve">             B.F</t>
  </si>
  <si>
    <t xml:space="preserve">             C.O</t>
  </si>
  <si>
    <t>DETAILED ESTIMATE OF HARD CRUST OF EXISTING PAVEMENT AT PORTION OF CONCTRUCTION OF HUME PIPE CULVERT</t>
  </si>
  <si>
    <t xml:space="preserve">1/4.1/   401 </t>
  </si>
  <si>
    <t>B. By Mix in Place Method</t>
  </si>
  <si>
    <t>Construction of granular sub-base by providing closed graded material, spreading in uniform layer with motor grader on prepared surface, mixing by mix in place method with rotavator at OMC, and compacting with vibratory roller to achieve the desired density, complete as per clause 401</t>
  </si>
  <si>
    <t>Providing, laying, spreading and compacting stone aggregates of specific size to water bound macadam specifications including spreading in uniform thickness, hand packing rolling with three wheeled steel/ vibratory roller 8 - 10 tonnes in stages to proper grade and camber, applying and brooming requisite type of screening/ binding materialsto fill up the interstices of coarsed aggregate, watering and compacting to the required density.</t>
  </si>
  <si>
    <t>A. By Manual Means</t>
  </si>
  <si>
    <t xml:space="preserve">1/3.1/   301 </t>
  </si>
  <si>
    <t xml:space="preserve">Excavation in soil for roadway using manual means including loading in truck for carrying of out earth to embankment side with lifts and lead upto 1000 metres. </t>
  </si>
  <si>
    <t>(Widening portion)</t>
  </si>
  <si>
    <t xml:space="preserve">2/3.15/   305.4.3 </t>
  </si>
  <si>
    <t>Scarifying Existing Bituminous surface to a depth of 50mm by mechanical means and disposal of scarified material within all lifts and lead upto 1000 metres.</t>
  </si>
  <si>
    <t>With Grade I Material</t>
  </si>
  <si>
    <t xml:space="preserve">3/4.1/   401 </t>
  </si>
  <si>
    <t xml:space="preserve">4/4.9/ 404  </t>
  </si>
  <si>
    <t xml:space="preserve">2/4.9/ 404  </t>
  </si>
  <si>
    <t>Grading II (63mm to 45mm size)</t>
  </si>
  <si>
    <t>A. (Widening portion)</t>
  </si>
  <si>
    <t>B. Over strengthening portion</t>
  </si>
  <si>
    <t>With Grade II metals ( 63mm to 45mm size )</t>
  </si>
  <si>
    <t>With Grade III metals ( 53mm to 22.4mm size )</t>
  </si>
  <si>
    <t xml:space="preserve">5/5.1/ 502.4.3  </t>
  </si>
  <si>
    <t>Providing and applying primer coat with bitumen emulsion on prepared surfaced of granunlar base including clearing of bed surface and spraying primer at the rate of as shown in 500 - 1 using mechanical means.</t>
  </si>
  <si>
    <t xml:space="preserve">  ii. Medium purity.</t>
  </si>
  <si>
    <t xml:space="preserve">6/5.2/ 503.4.3  </t>
  </si>
  <si>
    <t xml:space="preserve">  iii. Granular surface treated with primer.</t>
  </si>
  <si>
    <t>DETAILED ESTIMATE FOR STRENGTHENING INCLUDING WIDENING OF PAVEMENT OF LAITKOR - POMLAKRAI - LAITLYNGKOT ROAD (0-15.518)KM</t>
  </si>
  <si>
    <t>Average Lead = 14 Km Surfaced Road</t>
  </si>
  <si>
    <t xml:space="preserve">            Next  4 Km @ Rs</t>
  </si>
  <si>
    <t xml:space="preserve">      Rs.</t>
  </si>
  <si>
    <t>Area as per item 1/3.1 above   =</t>
  </si>
  <si>
    <r>
      <t xml:space="preserve">   Quantity @ 0.10 m</t>
    </r>
    <r>
      <rPr>
        <vertAlign val="superscript"/>
        <sz val="10"/>
        <rFont val="Arial"/>
        <family val="2"/>
      </rPr>
      <t>3</t>
    </r>
    <r>
      <rPr>
        <sz val="10"/>
        <rFont val="Arial"/>
        <family val="2"/>
      </rPr>
      <t>/m</t>
    </r>
    <r>
      <rPr>
        <vertAlign val="superscript"/>
        <sz val="10"/>
        <rFont val="Arial"/>
        <family val="2"/>
      </rPr>
      <t>2</t>
    </r>
  </si>
  <si>
    <r>
      <t>Quantity @ 0.091 m</t>
    </r>
    <r>
      <rPr>
        <vertAlign val="superscript"/>
        <sz val="10"/>
        <rFont val="Arial"/>
        <family val="2"/>
      </rPr>
      <t>3</t>
    </r>
    <r>
      <rPr>
        <sz val="10"/>
        <rFont val="Arial"/>
        <family val="2"/>
      </rPr>
      <t>/ m</t>
    </r>
    <r>
      <rPr>
        <vertAlign val="superscript"/>
        <sz val="10"/>
        <rFont val="Arial"/>
        <family val="2"/>
      </rPr>
      <t xml:space="preserve">2  </t>
    </r>
    <r>
      <rPr>
        <sz val="10"/>
        <rFont val="Arial"/>
        <family val="2"/>
      </rPr>
      <t>(</t>
    </r>
    <r>
      <rPr>
        <vertAlign val="superscript"/>
        <sz val="10"/>
        <rFont val="Arial"/>
        <family val="2"/>
      </rPr>
      <t xml:space="preserve"> </t>
    </r>
    <r>
      <rPr>
        <sz val="10"/>
        <rFont val="Arial"/>
        <family val="2"/>
      </rPr>
      <t>2 coats)</t>
    </r>
  </si>
  <si>
    <t xml:space="preserve">  =</t>
  </si>
  <si>
    <r>
      <t>Quantity @ 0.091 m</t>
    </r>
    <r>
      <rPr>
        <vertAlign val="superscript"/>
        <sz val="10"/>
        <rFont val="Arial"/>
        <family val="2"/>
      </rPr>
      <t>3</t>
    </r>
    <r>
      <rPr>
        <sz val="10"/>
        <rFont val="Arial"/>
        <family val="2"/>
      </rPr>
      <t>/ m</t>
    </r>
    <r>
      <rPr>
        <vertAlign val="superscript"/>
        <sz val="10"/>
        <rFont val="Arial"/>
        <family val="2"/>
      </rPr>
      <t xml:space="preserve">2  </t>
    </r>
    <r>
      <rPr>
        <sz val="10"/>
        <rFont val="Arial"/>
        <family val="2"/>
      </rPr>
      <t xml:space="preserve"> 2(two) Coats</t>
    </r>
    <r>
      <rPr>
        <vertAlign val="superscript"/>
        <sz val="10"/>
        <rFont val="Arial"/>
        <family val="2"/>
      </rPr>
      <t xml:space="preserve"> </t>
    </r>
  </si>
  <si>
    <t xml:space="preserve">7/5.8/ 511  </t>
  </si>
  <si>
    <t xml:space="preserve">Providing, laying and rolling of open-graded premix surfacing material of 20mm thickness composed of 13.2 mm to 5.6 mm aggregates using penetration grade bitumen to the required line, grade and level to serve as wearing course on a previously prepared base, including mixing in a suitable plant, laying and rolling with a smooth wheeled roller 8 - 10 tonnes capacity, and finishing to required level and grade. </t>
  </si>
  <si>
    <t xml:space="preserve">8/5.9/ 513 (i)  </t>
  </si>
  <si>
    <t xml:space="preserve">Providing and laying Type - A liquid seal coat voids comprising of application of a layer of bituminous binder followed by a cover of stone chips in a bituminous surface laid to the specified levels, grade and cross fall a layer, bituminous binding followed by a cover of item chips. </t>
  </si>
  <si>
    <t xml:space="preserve">    (Area as per item 7/5.8/511  = </t>
  </si>
  <si>
    <t xml:space="preserve">4. Stone Chips </t>
  </si>
  <si>
    <t>3. Grade III metals ( 53mm to 22.4mm size.)</t>
  </si>
  <si>
    <t>(i).</t>
  </si>
  <si>
    <r>
      <t>13.2 mm size @ 0.018 m</t>
    </r>
    <r>
      <rPr>
        <vertAlign val="superscript"/>
        <sz val="10"/>
        <rFont val="Arial"/>
        <family val="2"/>
      </rPr>
      <t>3</t>
    </r>
    <r>
      <rPr>
        <sz val="10"/>
        <rFont val="Arial"/>
        <family val="2"/>
      </rPr>
      <t>/m</t>
    </r>
    <r>
      <rPr>
        <vertAlign val="superscript"/>
        <sz val="10"/>
        <rFont val="Arial"/>
        <family val="2"/>
      </rPr>
      <t>2</t>
    </r>
  </si>
  <si>
    <t>(ii).</t>
  </si>
  <si>
    <r>
      <t>11.2 mm size @ 0.009 m</t>
    </r>
    <r>
      <rPr>
        <vertAlign val="superscript"/>
        <sz val="10"/>
        <rFont val="Arial"/>
        <family val="2"/>
      </rPr>
      <t>3</t>
    </r>
    <r>
      <rPr>
        <sz val="10"/>
        <rFont val="Arial"/>
        <family val="2"/>
      </rPr>
      <t>/m</t>
    </r>
    <r>
      <rPr>
        <vertAlign val="superscript"/>
        <sz val="10"/>
        <rFont val="Arial"/>
        <family val="2"/>
      </rPr>
      <t>2</t>
    </r>
  </si>
  <si>
    <t>(iii).</t>
  </si>
  <si>
    <r>
      <t>6.7 mm size @ 0.018 m</t>
    </r>
    <r>
      <rPr>
        <vertAlign val="superscript"/>
        <sz val="10"/>
        <rFont val="Arial"/>
        <family val="2"/>
      </rPr>
      <t>3</t>
    </r>
    <r>
      <rPr>
        <sz val="10"/>
        <rFont val="Arial"/>
        <family val="2"/>
      </rPr>
      <t>/m</t>
    </r>
    <r>
      <rPr>
        <vertAlign val="superscript"/>
        <sz val="10"/>
        <rFont val="Arial"/>
        <family val="2"/>
      </rPr>
      <t>2</t>
    </r>
  </si>
  <si>
    <t>2. Grade II metals ( 63mm to 45mm size.)</t>
  </si>
  <si>
    <t>B. BLINDAGE: Quarry at Umtyngar.</t>
  </si>
  <si>
    <t>1. G.S.B @ 50 % of item 3/4.1/401</t>
  </si>
  <si>
    <t>2. W.B.M II @ 25 % of metals</t>
  </si>
  <si>
    <t>3. W.B.M III @ 25 % of metals</t>
  </si>
  <si>
    <t xml:space="preserve">   Total</t>
  </si>
  <si>
    <t xml:space="preserve">A. STONE: </t>
  </si>
  <si>
    <t xml:space="preserve">B. BLINDAGE: </t>
  </si>
  <si>
    <t>Qnty =</t>
  </si>
  <si>
    <t xml:space="preserve">     Case III - Kutca Track and Track in River Bed etc.</t>
  </si>
  <si>
    <t>10/</t>
  </si>
  <si>
    <t>Forest Royalty:</t>
  </si>
  <si>
    <t>1. Quantity of Stone aggregates and Stone chips.</t>
  </si>
  <si>
    <t xml:space="preserve">    Quantity as per item 9/ 1.3 above</t>
  </si>
  <si>
    <t xml:space="preserve">/m2  ( inclusive of taxes ) </t>
  </si>
  <si>
    <t>2. Quantity of Blindage.</t>
  </si>
  <si>
    <t>PROVIDING HARD SHOULDER ON BOTH SIDES OF DETAILED ESTIMATE FOR CARRIAGEWAY AND CENTRE LINES OVER BLACK TOPPED SURFACED</t>
  </si>
  <si>
    <t>x 1000.00 x 0.75</t>
  </si>
  <si>
    <t xml:space="preserve">     Area</t>
  </si>
  <si>
    <t>Deduct B.U.G Bridge at Ch 13407.00 - 13440.00</t>
  </si>
  <si>
    <t xml:space="preserve">          Net Total  </t>
  </si>
  <si>
    <r>
      <t xml:space="preserve">                              G.S.B @ 0.10 m</t>
    </r>
    <r>
      <rPr>
        <vertAlign val="superscript"/>
        <sz val="10"/>
        <rFont val="Arial"/>
        <family val="2"/>
      </rPr>
      <t>3</t>
    </r>
    <r>
      <rPr>
        <sz val="10"/>
        <rFont val="Arial"/>
        <family val="2"/>
      </rPr>
      <t>/ m</t>
    </r>
    <r>
      <rPr>
        <vertAlign val="superscript"/>
        <sz val="10"/>
        <rFont val="Arial"/>
        <family val="2"/>
      </rPr>
      <t>2</t>
    </r>
  </si>
  <si>
    <t>Extra for carriage of sand,stone aggregates, stone chips and building stones      - - - - - - - etc.</t>
  </si>
  <si>
    <t>2/</t>
  </si>
  <si>
    <t>1. G.S.B @ 50 % of item 1/4.1/401</t>
  </si>
  <si>
    <t>Area to be executed  =</t>
  </si>
  <si>
    <r>
      <t xml:space="preserve">    Quantity @ 0.10 m</t>
    </r>
    <r>
      <rPr>
        <vertAlign val="superscript"/>
        <sz val="10"/>
        <rFont val="Arial"/>
        <family val="2"/>
      </rPr>
      <t>3</t>
    </r>
    <r>
      <rPr>
        <sz val="10"/>
        <rFont val="Arial"/>
        <family val="2"/>
      </rPr>
      <t>/m</t>
    </r>
    <r>
      <rPr>
        <vertAlign val="superscript"/>
        <sz val="10"/>
        <rFont val="Arial"/>
        <family val="2"/>
      </rPr>
      <t>2</t>
    </r>
  </si>
  <si>
    <t xml:space="preserve">Area as per item 1/4.1/401 above  </t>
  </si>
  <si>
    <t xml:space="preserve">Quantity = </t>
  </si>
  <si>
    <t xml:space="preserve">Qnty </t>
  </si>
  <si>
    <t>1. Quantity of Stone aggregates.</t>
  </si>
  <si>
    <t xml:space="preserve">  '3/</t>
  </si>
  <si>
    <t xml:space="preserve">    Quantity as per item 3/ 1.3 above</t>
  </si>
  <si>
    <t xml:space="preserve">            Total</t>
  </si>
  <si>
    <t xml:space="preserve"> 8/</t>
  </si>
  <si>
    <t xml:space="preserve"> 5/</t>
  </si>
  <si>
    <t xml:space="preserve"> Total (a + b) =   </t>
  </si>
  <si>
    <t xml:space="preserve">  Executive Engineer P.W.D (Roads)</t>
  </si>
  <si>
    <t xml:space="preserve">   NH Shillong Bye - Pass Division,</t>
  </si>
  <si>
    <t xml:space="preserve">                   Shillong</t>
  </si>
  <si>
    <t xml:space="preserve">                  Sub - Divisional Officer P.W.D (Roads)</t>
  </si>
  <si>
    <t xml:space="preserve">                 NH Shillong Bye - Pass Sub - Division 1,</t>
  </si>
  <si>
    <t xml:space="preserve">                                       Shillong</t>
  </si>
  <si>
    <t xml:space="preserve">      Shillong</t>
  </si>
  <si>
    <t xml:space="preserve">       Executive Engineer P.W.D (Roads)</t>
  </si>
  <si>
    <t xml:space="preserve">       NH Shillong Bye-Pass Division,</t>
  </si>
  <si>
    <t xml:space="preserve">            NH Shillong Bye-Pass Sub-Division No - 1,</t>
  </si>
  <si>
    <t xml:space="preserve">        Shillong</t>
  </si>
  <si>
    <t xml:space="preserve">            Sub-Divisional officer P.W.D (Roads)</t>
  </si>
  <si>
    <t xml:space="preserve">        Executive Engineer P.W.D (Roads)</t>
  </si>
  <si>
    <t xml:space="preserve">        NH Shillong Bye-Pass Division,</t>
  </si>
  <si>
    <t xml:space="preserve">     Shillong</t>
  </si>
  <si>
    <t xml:space="preserve">           Sub-Divisional officer P.W.D (Roads)</t>
  </si>
  <si>
    <t>= Rs</t>
  </si>
  <si>
    <t>Therefore Rate/ Rm = Rs</t>
  </si>
  <si>
    <t xml:space="preserve">    Qnty as per Statement  4          =</t>
  </si>
  <si>
    <t xml:space="preserve">    Qnty as per Statement  4           =</t>
  </si>
  <si>
    <t xml:space="preserve">    Qnty as per Statement  4            =</t>
  </si>
  <si>
    <t xml:space="preserve"> (L.H.S + R.H.S)</t>
  </si>
  <si>
    <t>Length of HP Culvert  =</t>
  </si>
  <si>
    <t xml:space="preserve">Rm (as per Annexure - 4  ) </t>
  </si>
  <si>
    <t xml:space="preserve">Area as per Statement 5     </t>
  </si>
  <si>
    <t xml:space="preserve"> Area as per Statement 5        </t>
  </si>
  <si>
    <t xml:space="preserve">Area as per Statement 5   (Existing Pavement)  = </t>
  </si>
  <si>
    <t>Area as per Statement  5        =</t>
  </si>
  <si>
    <t>Area as per Statement  5       =</t>
  </si>
  <si>
    <t xml:space="preserve">ANALYSIS FOR CONSTRUCTION OF SINGLE OPENING H/P NP4 CULVERT    </t>
  </si>
  <si>
    <t>NAME OF WORK :- STRENGTHENING, IMPROVEMENT INCLUDING WIDENING TO INTERMWDIATE LANE OF LAITKOR - POMLAKRAI - LAITLYNGKOT ROAD PORTION FROM ( 0 - 15.518 Km ) UNDER NLCPR</t>
  </si>
  <si>
    <t xml:space="preserve">                   ANNAXURE -  2 </t>
  </si>
  <si>
    <t xml:space="preserve">                           ANNEXURE - 3 </t>
  </si>
  <si>
    <t>NAME OF WORK :- STRENGTHENING, IMPROVEMENT INCLUDING WIDENING OF LAITKOR - POMLAKRAI - LAITLYNGKOT ROAD PORTION FROM ( 0 - 15.518 Km ) UNDER NLCPR.</t>
  </si>
  <si>
    <t xml:space="preserve">                    ANNEXURE -  4 (b)</t>
  </si>
  <si>
    <t xml:space="preserve">                   ANNEXURE -  4 ( c ) </t>
  </si>
  <si>
    <t xml:space="preserve">                         ANNEXURE - 5 </t>
  </si>
  <si>
    <t xml:space="preserve">                        ANNAXURE - 7 </t>
  </si>
  <si>
    <t xml:space="preserve">                       ANNAXURE -  6 </t>
  </si>
  <si>
    <t>Providing and applying tack coat with bitumen emulsion using emulsion pressure distributor at the rate of 0.20 Kg per sqm on prepared bituminous/ granunlar surface cleaned with mechanical broom.</t>
  </si>
  <si>
    <t>(Considering a length of 10.00 m)</t>
  </si>
  <si>
    <t>NAME OF WORK :- IMPROVEMENT/ CONSTRUCTION INCLUDING METALLING &amp; BLACK TOPPING OF A DOUBLE LANE ROAD FROM RYMBAI TO DEINCHYNRUM (7.00 Km ) UNDER NLCPR.</t>
  </si>
  <si>
    <t xml:space="preserve"> 1000 mm  dia.(Internal)</t>
  </si>
  <si>
    <t>(i). STONE: Quantity as per table above =</t>
  </si>
  <si>
    <t>(ii). SAND:  Quantity as per table above =</t>
  </si>
  <si>
    <t xml:space="preserve">        Total   =</t>
  </si>
  <si>
    <r>
      <t>m</t>
    </r>
    <r>
      <rPr>
        <sz val="10"/>
        <rFont val="Arial"/>
        <family val="2"/>
      </rPr>
      <t>³</t>
    </r>
  </si>
  <si>
    <r>
      <t>/m</t>
    </r>
    <r>
      <rPr>
        <sz val="10"/>
        <rFont val="Arial"/>
        <family val="2"/>
      </rPr>
      <t>³</t>
    </r>
  </si>
  <si>
    <t>Depth upto 3 m</t>
  </si>
  <si>
    <t>m³</t>
  </si>
  <si>
    <r>
      <t>/m</t>
    </r>
    <r>
      <rPr>
        <sz val="10"/>
        <rFont val="Arial"/>
        <family val="2"/>
      </rPr>
      <t>²</t>
    </r>
  </si>
  <si>
    <r>
      <t>m</t>
    </r>
    <r>
      <rPr>
        <sz val="10"/>
        <rFont val="Arial"/>
        <family val="2"/>
      </rPr>
      <t>²</t>
    </r>
  </si>
  <si>
    <t xml:space="preserve">1/ 9.1/ 304 1(a) </t>
  </si>
  <si>
    <t>Earthwork in excavation of foundation of structures as per drawing and technical specification, including setting out, construction of shoring and bracing, removal of stumps and other deleterious matter, dressing of sides and bottom and back filling with approved material.</t>
  </si>
  <si>
    <t>2/ 7.14/ 2500</t>
  </si>
  <si>
    <t>3/ 7.1/ 408</t>
  </si>
  <si>
    <t>4/ 7.9/ 1000/ 1400</t>
  </si>
  <si>
    <t>Random rubble masonry (coursed) in cement mortar 1:3 in foundation upto a depth of 1.50 m and 1.50 above ground/ bed level.</t>
  </si>
  <si>
    <t>Plain cement concrete 1:3:6 mix crushed stone aggregate 40mm nominal size in foundation upto a depth of 1.50m below ground level and upto 1.50m above ground/ bed level (taking output 10 cum)</t>
  </si>
  <si>
    <t>Laying reinforced cement concrete pipe NP3/ prestressed concrete pipe for culverts on first class bedding of granular material in single row including fixing collar with cement mortar 1:2 but excluding excavation, protection works, back filling, concrete and masonry works in head walls and parapets. (including cost of granular material and HP NP3)</t>
  </si>
  <si>
    <t>5/ 7.17/ 2900</t>
  </si>
  <si>
    <t>6/ 7.15/ 1500</t>
  </si>
  <si>
    <t>Construction of embankment with approved material deposited at site from road way cutting and excavation from drain and foundation of other structures graded and compacted to meet requirement of Table 300-2.</t>
  </si>
  <si>
    <t>8/ 7.12/ 1000/ 1300</t>
  </si>
  <si>
    <t>i). Qty vide item 2/ 7.14</t>
  </si>
  <si>
    <t xml:space="preserve">m³    @ </t>
  </si>
  <si>
    <t>m³/ m³</t>
  </si>
  <si>
    <t>ii) Qty vide item 3/ 7.1</t>
  </si>
  <si>
    <t>iii) Qty vide item 4/ 7.9</t>
  </si>
  <si>
    <t>iv) Qty vide item 6/ 7.15</t>
  </si>
  <si>
    <t>B. Sand :</t>
  </si>
  <si>
    <t>A. Stone :</t>
  </si>
  <si>
    <t>i). Qty vide item3/ 7.1</t>
  </si>
  <si>
    <t>ii) Qty vide item 4/ 7.9</t>
  </si>
  <si>
    <t>iii) Qty vide item 8/ 7.12</t>
  </si>
  <si>
    <t>m³/ m²</t>
  </si>
  <si>
    <t>=    Rs.</t>
  </si>
  <si>
    <r>
      <t>/m</t>
    </r>
    <r>
      <rPr>
        <sz val="10"/>
        <rFont val="Arial"/>
        <family val="2"/>
      </rPr>
      <t>³</t>
    </r>
    <r>
      <rPr>
        <vertAlign val="superscript"/>
        <sz val="10"/>
        <rFont val="Arial"/>
        <family val="2"/>
      </rPr>
      <t xml:space="preserve">  </t>
    </r>
  </si>
  <si>
    <t>Quantity</t>
  </si>
  <si>
    <t>Carriage of Hume Pipe from factory to work site.</t>
  </si>
  <si>
    <r>
      <t>A. STONE: Quarry from 26</t>
    </r>
    <r>
      <rPr>
        <b/>
        <vertAlign val="superscript"/>
        <sz val="10"/>
        <rFont val="Arial"/>
        <family val="2"/>
      </rPr>
      <t>th</t>
    </r>
    <r>
      <rPr>
        <b/>
        <sz val="10"/>
        <rFont val="Arial"/>
        <family val="2"/>
      </rPr>
      <t xml:space="preserve"> Km of R.B.B Road.</t>
    </r>
  </si>
  <si>
    <t>Average lead  =  30 Km</t>
  </si>
  <si>
    <t>ie. 26 Km Surfaced Road &amp; 4 Km Rough Road</t>
  </si>
  <si>
    <t>Case i. Surfaced Road.</t>
  </si>
  <si>
    <t>Case iii. Kutcha Track.</t>
  </si>
  <si>
    <t>B. SAND: Quarry from 8th Km of P.G Road.</t>
  </si>
  <si>
    <t>Average lead  =  33 Km</t>
  </si>
  <si>
    <t>ie. 29 Km Surfaced Road &amp; 4 Km Rough Road</t>
  </si>
  <si>
    <t>Average Lead  =  98 Km.</t>
  </si>
  <si>
    <t xml:space="preserve">     ie. 94 Km Surfaced Road &amp; 4 Km Rough Road</t>
  </si>
  <si>
    <t xml:space="preserve">             1st 10 Km @ Rs</t>
  </si>
  <si>
    <t xml:space="preserve">          Next  40 Km @ Rs</t>
  </si>
  <si>
    <t xml:space="preserve">          Next  44 Km @ Rs</t>
  </si>
  <si>
    <t xml:space="preserve">          Next    4 Km @ Rs</t>
  </si>
  <si>
    <t>Add 12.5% Govt. of Meghalaya V.A.T</t>
  </si>
  <si>
    <t>G.Total</t>
  </si>
  <si>
    <t>12.</t>
  </si>
  <si>
    <t>Executive Engineer P.W.D (Roads)</t>
  </si>
  <si>
    <t>N.E.C Division, Jowai</t>
  </si>
  <si>
    <t>Khliehriat Sub-Division, Khliehrait</t>
  </si>
  <si>
    <t>Sub-Divisional officer P.W.D (Roads)</t>
  </si>
  <si>
    <t>(Cost of HP NP3 was adopted as per factory current supply rate)</t>
  </si>
  <si>
    <t>7/ 3.17/ 305</t>
  </si>
  <si>
    <t xml:space="preserve">             STATEMENT No - 4(a)</t>
  </si>
  <si>
    <t>ANALYSIS FOR CONSTRUCTION OF SINGLE OPENING HP NP4 CULVERT</t>
  </si>
  <si>
    <t xml:space="preserve">m²    @ </t>
  </si>
  <si>
    <t>@ Rs</t>
  </si>
  <si>
    <t>Quantity = 4</t>
  </si>
  <si>
    <t xml:space="preserve">     Total       =</t>
  </si>
  <si>
    <t>Average Lead = 62 Km.</t>
  </si>
  <si>
    <t>ie. 61 Km Surfaced Road &amp; 1 Km Rough Road.</t>
  </si>
  <si>
    <t>1st 10 Km @ Rs</t>
  </si>
  <si>
    <t>Next  40 Km @ Rs</t>
  </si>
  <si>
    <t>Next  11 Km @ Rs</t>
  </si>
  <si>
    <t>Next  1 Km @ Rs</t>
  </si>
  <si>
    <t xml:space="preserve">m³     @ </t>
  </si>
  <si>
    <t xml:space="preserve">m²     @ </t>
  </si>
  <si>
    <t>=  Rs.</t>
  </si>
  <si>
    <r>
      <t>A. STONE: Quarry from 58</t>
    </r>
    <r>
      <rPr>
        <b/>
        <vertAlign val="superscript"/>
        <sz val="10"/>
        <rFont val="Arial"/>
        <family val="2"/>
      </rPr>
      <t>th</t>
    </r>
    <r>
      <rPr>
        <b/>
        <sz val="10"/>
        <rFont val="Arial"/>
        <family val="2"/>
      </rPr>
      <t xml:space="preserve"> Km of S-J Road (NH - 44).</t>
    </r>
  </si>
  <si>
    <t>ie. 9.00 Km Surfaced Road &amp; 2 Km Rough Road.</t>
  </si>
  <si>
    <t>B. SAND: Quarry from 11th Km of P.G Road.</t>
  </si>
  <si>
    <t>Average lead  =  25 Km</t>
  </si>
  <si>
    <t>ie. 24 Km Surfaced Road &amp; 1 Km Rough Road</t>
  </si>
  <si>
    <t>Slab</t>
  </si>
  <si>
    <t xml:space="preserve">@ </t>
  </si>
  <si>
    <t>Say</t>
  </si>
  <si>
    <t>Providing Tor steel reinforcement including curing, bending &amp; cranking &amp; tying with 20 gauge tying wire position etc….</t>
  </si>
  <si>
    <t>Kg'/Rm</t>
  </si>
  <si>
    <t>Providing shuttering including centering for flat surface such as slab, shelves, chajja &amp; for for vertical faces such as column,walls &amp; of beams etc……..</t>
  </si>
  <si>
    <t>Providing 1st class brick in required thickness with cement mortar in prop. 1:6, 8-sand complete laid in cement mortar in prop. 1-cement to 6-sand &amp; catering 4 &amp; 3 times a day using for 10 days (ii) Thickness 12.50 cm.</t>
  </si>
  <si>
    <t>Countersigned By</t>
  </si>
  <si>
    <t>16 mm dia. Tor Steel:-</t>
  </si>
  <si>
    <t>G/Floor</t>
  </si>
  <si>
    <t>Total Weight</t>
  </si>
  <si>
    <t>/Qntl</t>
  </si>
  <si>
    <t>Columns (Below plinth).</t>
  </si>
  <si>
    <t>Providing and laying cement concrete in prop. 1:2:4 in super structure including scafolding curing……………….complete.</t>
  </si>
  <si>
    <t>Providing 12 mm thick Cement plaster including cleaning the surface and curing complete. (1:3)</t>
  </si>
  <si>
    <t>Providing dressed and rebated wood works I frames of doors……………etc……with fixing nails, spikes, bolts and nuts………………complete.</t>
  </si>
  <si>
    <t>Local Wood</t>
  </si>
  <si>
    <t>Chowkats:</t>
  </si>
  <si>
    <t>Providing and fixing 38 mm thick Full panelled shutter for doors with red pine wood/local wood including roolings</t>
  </si>
  <si>
    <t>Qntl</t>
  </si>
  <si>
    <t xml:space="preserve">Total </t>
  </si>
  <si>
    <t>Above Plinth Level :-</t>
  </si>
  <si>
    <t>(C) Champa &amp; the like (Diengrai,etc)</t>
  </si>
  <si>
    <t>Window</t>
  </si>
  <si>
    <t>Distempering with dry distemper 2 (two) coats of required shade to give an even shade to new works…..…...etc.</t>
  </si>
  <si>
    <t>`</t>
  </si>
  <si>
    <t>Lintel Beam</t>
  </si>
  <si>
    <t>Door D1 (-)</t>
  </si>
  <si>
    <t>Window W1 (-)</t>
  </si>
  <si>
    <t>Columns (Above plinth).</t>
  </si>
  <si>
    <t>Ventilator V2 (-)</t>
  </si>
  <si>
    <t>Sunshades 1</t>
  </si>
  <si>
    <t xml:space="preserve"> Room</t>
  </si>
  <si>
    <t>Door D</t>
  </si>
  <si>
    <t>W</t>
  </si>
  <si>
    <t>16 mm dia.bar:</t>
  </si>
  <si>
    <t>8 mm dia.bar (Stirrups):</t>
  </si>
  <si>
    <t>(B) Floor Beam:</t>
  </si>
  <si>
    <t>Main Bar</t>
  </si>
  <si>
    <t>Extra  Bar (Top)</t>
  </si>
  <si>
    <t>Extra  Bar (Bottom)</t>
  </si>
  <si>
    <t>(C) Cantilever Beam:</t>
  </si>
  <si>
    <t>(D) Main Slab:</t>
  </si>
  <si>
    <t>Main Bar (x-axis)</t>
  </si>
  <si>
    <t>(y-axis)</t>
  </si>
  <si>
    <t>Crank Up Bar (x-axis)</t>
  </si>
  <si>
    <t>Top Distribution Bar (x-axis)</t>
  </si>
  <si>
    <t>Extra Bar (x-axis)</t>
  </si>
  <si>
    <t>(E) Cantilever Slab:</t>
  </si>
  <si>
    <t>Grand Total Weight</t>
  </si>
  <si>
    <t>G E N E R A L   A B S T R A C T</t>
  </si>
  <si>
    <t>Sl.No.</t>
  </si>
  <si>
    <t>Particulars</t>
  </si>
  <si>
    <t>Amount ( in Rs )</t>
  </si>
  <si>
    <t>Remarks</t>
  </si>
  <si>
    <t>As per detailed estimate</t>
  </si>
  <si>
    <t>Total = Rs.</t>
  </si>
  <si>
    <t>Add 12% for internal electrification</t>
  </si>
  <si>
    <t>Add 10% for water supply and sanitary fittings</t>
  </si>
  <si>
    <t xml:space="preserve">                                                                               Grand Total = Rs.</t>
  </si>
  <si>
    <t xml:space="preserve">                                                                             Say  Rs.</t>
  </si>
  <si>
    <t>RATES ARE AS PER MEGHALAYA P.W.D SCHEDULE OF RATES FOR THE YEAR 2013-2014 (BUILDINGS)</t>
  </si>
  <si>
    <t>Column</t>
  </si>
  <si>
    <t>Roof &amp; Floor Beam</t>
  </si>
  <si>
    <t>Providing MS ornamental grills of approved design, joints continuously welded, with MS flat iron and bars for windows and railing etc fitted and  fixed with neccessary screws or lugs complete with a priming coat of red lead paint. (in  ground floor)</t>
  </si>
  <si>
    <t>Providing and fixing glass panes, ordinary quality, embedded in putty and fixed with necessary nails etc complete (for wooden doors and windows)</t>
  </si>
  <si>
    <t>Painting with plastic emulsion paint of approved make and brand to give an even shade including cleaning the surface etc, complete as directed.</t>
  </si>
  <si>
    <t>C</t>
  </si>
  <si>
    <t>Stirrups for Column (0.3mx.3m):-</t>
  </si>
  <si>
    <r>
      <t>m</t>
    </r>
    <r>
      <rPr>
        <vertAlign val="superscript"/>
        <sz val="9"/>
        <color theme="1"/>
        <rFont val="ItalicT"/>
      </rPr>
      <t>3</t>
    </r>
  </si>
  <si>
    <r>
      <t>/m</t>
    </r>
    <r>
      <rPr>
        <vertAlign val="superscript"/>
        <sz val="9"/>
        <color theme="1"/>
        <rFont val="ItalicT"/>
      </rPr>
      <t>3</t>
    </r>
  </si>
  <si>
    <r>
      <t>m</t>
    </r>
    <r>
      <rPr>
        <vertAlign val="superscript"/>
        <sz val="9"/>
        <rFont val="ItalicT"/>
      </rPr>
      <t>2</t>
    </r>
  </si>
  <si>
    <r>
      <t>/m</t>
    </r>
    <r>
      <rPr>
        <vertAlign val="superscript"/>
        <sz val="9"/>
        <color theme="1"/>
        <rFont val="ItalicT"/>
      </rPr>
      <t>2</t>
    </r>
  </si>
  <si>
    <r>
      <t>Span :</t>
    </r>
    <r>
      <rPr>
        <b/>
        <sz val="9"/>
        <color theme="1"/>
        <rFont val="ItalicT"/>
      </rPr>
      <t xml:space="preserve"> </t>
    </r>
    <r>
      <rPr>
        <sz val="9"/>
        <rFont val="ItalicT"/>
      </rPr>
      <t>(10 mm dia.bar)</t>
    </r>
  </si>
  <si>
    <r>
      <t>m</t>
    </r>
    <r>
      <rPr>
        <vertAlign val="superscript"/>
        <sz val="9"/>
        <rFont val="ItalicT"/>
      </rPr>
      <t xml:space="preserve">2 </t>
    </r>
  </si>
  <si>
    <t xml:space="preserve">   (2 sides of wall)</t>
  </si>
  <si>
    <r>
      <t xml:space="preserve">    </t>
    </r>
    <r>
      <rPr>
        <b/>
        <u/>
        <sz val="8"/>
        <color theme="1"/>
        <rFont val="ItalicT"/>
      </rPr>
      <t>(As per Meghalaya PWD Schedules of Rates for Building Works 2013-14)</t>
    </r>
  </si>
  <si>
    <t>ESTIMATE SCIENCE LABARATORY, JOWAI, MEGAHALAYA</t>
  </si>
  <si>
    <t>(A) COLUMN :-</t>
  </si>
  <si>
    <t>Floor beams</t>
  </si>
  <si>
    <r>
      <t xml:space="preserve">Span </t>
    </r>
    <r>
      <rPr>
        <sz val="9"/>
        <rFont val="ItalicT"/>
      </rPr>
      <t>: (10 mm dia.bar)</t>
    </r>
  </si>
  <si>
    <t>Add 5% for lapping, cranking, wastage in cutting, etc</t>
  </si>
  <si>
    <t>(Rupees:___________________________________________________) only</t>
  </si>
  <si>
    <t>1/6.2(a).</t>
  </si>
  <si>
    <t>2/2.9(a)</t>
  </si>
  <si>
    <t>3/2.4</t>
  </si>
  <si>
    <t>4/3.9</t>
  </si>
  <si>
    <t>5/4.1</t>
  </si>
  <si>
    <t>6/7.1</t>
  </si>
  <si>
    <t>7/7.13</t>
  </si>
  <si>
    <t>8/6.10</t>
  </si>
  <si>
    <t>9/9.1</t>
  </si>
  <si>
    <t>10/10.7</t>
  </si>
  <si>
    <t>11/10.13</t>
  </si>
  <si>
    <t>Area as per item 4/3.9</t>
  </si>
  <si>
    <t>Cost of  Civil Part of Building</t>
  </si>
  <si>
    <t>20 mm dia.bar:</t>
  </si>
  <si>
    <t>Columns</t>
  </si>
  <si>
    <t>Shelfs</t>
  </si>
  <si>
    <t>Shelf</t>
  </si>
  <si>
    <t>(F) Shelf Slab:</t>
  </si>
  <si>
    <r>
      <t xml:space="preserve">Span </t>
    </r>
    <r>
      <rPr>
        <sz val="9"/>
        <rFont val="ItalicT"/>
      </rPr>
      <t>: (8 mm dia.bar)</t>
    </r>
  </si>
  <si>
    <r>
      <t>Span :</t>
    </r>
    <r>
      <rPr>
        <b/>
        <sz val="9"/>
        <color theme="1"/>
        <rFont val="ItalicT"/>
      </rPr>
      <t xml:space="preserve"> </t>
    </r>
    <r>
      <rPr>
        <sz val="9"/>
        <color theme="1"/>
        <rFont val="ItalicT"/>
      </rPr>
      <t>(6.1x10.4)</t>
    </r>
    <r>
      <rPr>
        <b/>
        <sz val="9"/>
        <color theme="1"/>
        <rFont val="ItalicT"/>
      </rPr>
      <t xml:space="preserve"> </t>
    </r>
    <r>
      <rPr>
        <sz val="9"/>
        <rFont val="ItalicT"/>
      </rPr>
      <t>(10 mm dia.bar)</t>
    </r>
  </si>
  <si>
    <r>
      <t>Span :</t>
    </r>
    <r>
      <rPr>
        <b/>
        <sz val="9"/>
        <color theme="1"/>
        <rFont val="ItalicT"/>
      </rPr>
      <t xml:space="preserve"> </t>
    </r>
    <r>
      <rPr>
        <sz val="9"/>
        <color theme="1"/>
        <rFont val="ItalicT"/>
      </rPr>
      <t>(6.1x15.2)</t>
    </r>
    <r>
      <rPr>
        <sz val="9"/>
        <rFont val="ItalicT"/>
      </rPr>
      <t>(10 mm dia.bar)</t>
    </r>
  </si>
  <si>
    <t>16 mm dia.bar: Main Bar</t>
  </si>
  <si>
    <t>8 mm dia.bar: Stirrups</t>
  </si>
  <si>
    <t>Waist Slab 1:</t>
  </si>
  <si>
    <t>10 mm dia.bar: Main Bar</t>
  </si>
  <si>
    <t>Crank up Bar</t>
  </si>
  <si>
    <t>Extra  Bar</t>
  </si>
  <si>
    <t>8 mm dia.bar: Distribution Bar</t>
  </si>
  <si>
    <t xml:space="preserve"> (y-axis)</t>
  </si>
  <si>
    <r>
      <t>Landing: (</t>
    </r>
    <r>
      <rPr>
        <sz val="9"/>
        <rFont val="ItalicT"/>
      </rPr>
      <t>10 mm dia.bar)</t>
    </r>
  </si>
  <si>
    <t>Staircase</t>
  </si>
  <si>
    <t>(F) Cantilever Slab:</t>
  </si>
  <si>
    <t>Cantilever Slab</t>
  </si>
  <si>
    <t>Providing and laying cement concrete in proportion 1:1½:3 corresponding to M 200 (1cement, 1½sand and 3stone aggregates of 20mm and down graded) including curing etc complete (excluding shuttering and reinforcement)</t>
  </si>
  <si>
    <t>For 4th Floor</t>
  </si>
  <si>
    <t>Providing fin wall and chajja 60 cm thick or as designed with cement concrete in proportion 1:2:4 corresponding to M150 (1-cement, 2-sand and 4-stone aggregates of 12 mm and down graded) including 6 mm thick  cement plaster of proportion 1:2 (1- cement and 2- sand) and curing as directed complete (excluding shuttering and reinforcement).</t>
  </si>
  <si>
    <t>Chajja</t>
  </si>
  <si>
    <t>(E) Staircase: Cantilever Landing Beam:</t>
  </si>
  <si>
    <t>5/2.5</t>
  </si>
  <si>
    <t>6/3.9</t>
  </si>
  <si>
    <t>7/4.1</t>
  </si>
  <si>
    <t>8/7.1</t>
  </si>
  <si>
    <t>9/7.13</t>
  </si>
  <si>
    <t>10/6.10</t>
  </si>
  <si>
    <t>11/9.1</t>
  </si>
  <si>
    <t>Area as per item 6/3.9</t>
  </si>
  <si>
    <t>(e) Grill weighing above 18 kg/ m² to 20 kg/ m²</t>
  </si>
  <si>
    <t xml:space="preserve"> Cantilever Slab</t>
  </si>
  <si>
    <t>White washing with lime on new works to give an even shade as directed complete.</t>
  </si>
  <si>
    <t>13/10.1</t>
  </si>
  <si>
    <t>(c) Three Coat</t>
  </si>
  <si>
    <t>14/10.13</t>
  </si>
  <si>
    <t>(iii) Two coats (new work)</t>
  </si>
  <si>
    <t xml:space="preserve">Distempering with acrylic washable distemper of approved shade to give an even shade including cleaning etc </t>
  </si>
  <si>
    <t>12/10.8</t>
  </si>
  <si>
    <t>ESTIMATE FOR EXTENSION IF THIRD FLOOR  PRESBYTERIAN HIGHER SECONDARY SCHOOL AT CAROLINE THADLABOH, JOWAI, WEST JAINTIA HILLS DISTRICT, MEGAHALAYA</t>
  </si>
  <si>
    <r>
      <t xml:space="preserve">Amount in words : </t>
    </r>
    <r>
      <rPr>
        <b/>
        <i/>
        <sz val="9"/>
        <color theme="1"/>
        <rFont val="ItalicT"/>
      </rPr>
      <t>Rupees Forty Seven Lakhs Forty Three Thousand and Four Hundred and Sixty Only.</t>
    </r>
  </si>
  <si>
    <t>(Rupees:Thirty Eight Lakhs Eighty Eight Thousand and Eighty Two) only</t>
  </si>
  <si>
    <t>3/1.1</t>
  </si>
  <si>
    <t>Earthwork in excavation in foundation trenches, including dressing of sides and ramming of the bottom including stacking etc………………….</t>
  </si>
  <si>
    <t xml:space="preserve">(b). Hard soil. </t>
  </si>
  <si>
    <t>Footing</t>
  </si>
  <si>
    <t>Plinth Wall:-</t>
  </si>
  <si>
    <t>4/4.5</t>
  </si>
  <si>
    <t>Providing 100 mm thick soling with approved quality of stones including carraige, ramming, consolidating and filling the interstices with stone aggregate complete.</t>
  </si>
  <si>
    <t>4/2.1</t>
  </si>
  <si>
    <t>Providing and laying C.C work in prop. 1:4:8 including necessay curing complete.</t>
  </si>
  <si>
    <t>In Footings:-</t>
  </si>
  <si>
    <t>3/3.5</t>
  </si>
  <si>
    <t>Providing course random rubble stone masonary in foundation &amp; plinth with unsized stone Mawthup in C.M 1:6 including curing complete.</t>
  </si>
  <si>
    <r>
      <t>m</t>
    </r>
    <r>
      <rPr>
        <vertAlign val="superscript"/>
        <sz val="10"/>
        <color theme="1"/>
        <rFont val="ItalicT"/>
      </rPr>
      <t>3</t>
    </r>
  </si>
  <si>
    <t>Plate</t>
  </si>
  <si>
    <t>Below Plinth Level :-</t>
  </si>
  <si>
    <t>C1</t>
  </si>
  <si>
    <t>Size = 2.10m x 2.1m</t>
  </si>
  <si>
    <t>(B) Plinth Beam:</t>
  </si>
  <si>
    <t>12 mm dia. Tor Steel:-</t>
  </si>
  <si>
    <t>Floor beams &amp; Plinth Beam</t>
  </si>
  <si>
    <t>Plinth Beam</t>
  </si>
  <si>
    <t>(b) Grill weighing above 12 kg/ m² upto 14 kg/ m²</t>
  </si>
  <si>
    <t xml:space="preserve">Two Coat </t>
  </si>
  <si>
    <t>ESTIMATE FOR CONSTRUCTION OF PARKING LOT CUM WORKSHOP FOR BUSES AT MAWBLEI,SHILLONG,EAST KHASI HILLS,MEGHALAYA.</t>
  </si>
  <si>
    <r>
      <t xml:space="preserve">    </t>
    </r>
    <r>
      <rPr>
        <b/>
        <u/>
        <sz val="8"/>
        <color theme="1"/>
        <rFont val="ItalicT"/>
      </rPr>
      <t>(As per Meghalaya PWD Schedules of Rates for Building Works (2013-14) &amp; Roads (2012-2013))</t>
    </r>
  </si>
  <si>
    <t>(B)  Beam:</t>
  </si>
  <si>
    <t>Beam Size (30cm x 45cm)</t>
  </si>
  <si>
    <t>Beam Size (30cm x 50cm)</t>
  </si>
  <si>
    <t>4/6.6</t>
  </si>
  <si>
    <t>Providing steel work in built up tubular trusses including cutting, hoisting,fixing in position, including welding etc and applying a coat of approved steel primer complete as directed.</t>
  </si>
  <si>
    <t>Truss</t>
  </si>
  <si>
    <t>qtl</t>
  </si>
  <si>
    <t>Gasset Plate = 15%</t>
  </si>
  <si>
    <t>Rivets, Bolts &amp; Nuts = 5%</t>
  </si>
  <si>
    <t>/qtl</t>
  </si>
  <si>
    <t>(a)</t>
  </si>
  <si>
    <t>0.80 mm Thick Sheet</t>
  </si>
  <si>
    <t>/m2</t>
  </si>
  <si>
    <t>m2</t>
  </si>
  <si>
    <t xml:space="preserve"> Septic Tank</t>
  </si>
  <si>
    <t>Toilet</t>
  </si>
  <si>
    <t>Door</t>
  </si>
  <si>
    <t>Windows</t>
  </si>
  <si>
    <t>(a) White Pine</t>
  </si>
  <si>
    <t>25 mm dia.bar:</t>
  </si>
  <si>
    <t>Providing corrugated galvanised iron iron J &amp; L hooks, bolts and nuts, 8mm diametre with bitumen and GI limpet washers or with GI limpet washers filled with white lead complete excluding the cost of purlins, rafters and trusses.</t>
  </si>
  <si>
    <t>5/5.9</t>
  </si>
  <si>
    <t>Prepared By:</t>
  </si>
  <si>
    <t>Checked By:</t>
  </si>
  <si>
    <t>Countersigned By;</t>
  </si>
  <si>
    <t>Approved By:</t>
  </si>
  <si>
    <t>UTILIZATION STATEMENT FOR CEMENT QUANTITY.</t>
  </si>
  <si>
    <t>Contractor's Name :-</t>
  </si>
  <si>
    <t>1.  Providing C.C in Prop. 1:2:4</t>
  </si>
  <si>
    <r>
      <t>m</t>
    </r>
    <r>
      <rPr>
        <vertAlign val="superscript"/>
        <sz val="11"/>
        <rFont val="Arial"/>
        <family val="2"/>
      </rPr>
      <t>3</t>
    </r>
  </si>
  <si>
    <r>
      <t>Kg/m</t>
    </r>
    <r>
      <rPr>
        <vertAlign val="superscript"/>
        <sz val="11"/>
        <rFont val="Arial"/>
        <family val="2"/>
      </rPr>
      <t>3</t>
    </r>
  </si>
  <si>
    <t>bags</t>
  </si>
  <si>
    <t>Kg/bag</t>
  </si>
  <si>
    <t>3.  Providing 12mm thick 1:4</t>
  </si>
  <si>
    <t>Total =</t>
  </si>
  <si>
    <t>Prepared by:</t>
  </si>
  <si>
    <t>Checked &amp; Approved by:</t>
  </si>
  <si>
    <t>FOREST LOYALTY DEDUCTIONS</t>
  </si>
  <si>
    <t>Name of Contractor:</t>
  </si>
  <si>
    <t>SL.NO.</t>
  </si>
  <si>
    <t>ITEMS</t>
  </si>
  <si>
    <t>MEASUREMENT</t>
  </si>
  <si>
    <t>RATE FINDING</t>
  </si>
  <si>
    <t>QNTY OF</t>
  </si>
  <si>
    <t>AS PER M.B</t>
  </si>
  <si>
    <t>OUT FACTOR</t>
  </si>
  <si>
    <t>STONE</t>
  </si>
  <si>
    <t>SAND</t>
  </si>
  <si>
    <t>Stone =</t>
  </si>
  <si>
    <t>3/25</t>
  </si>
  <si>
    <t>C.C 1:2:4</t>
  </si>
  <si>
    <t>Sand  =</t>
  </si>
  <si>
    <t>4/9.1</t>
  </si>
  <si>
    <t xml:space="preserve">Plastering 12mm </t>
  </si>
  <si>
    <t>in Prop. 1:4</t>
  </si>
  <si>
    <t>Quantity of Stone =</t>
  </si>
  <si>
    <t>/cum …………. Rs</t>
  </si>
  <si>
    <t>Quantity of Sand =</t>
  </si>
  <si>
    <t>Checked by:</t>
  </si>
  <si>
    <t>Countersigned by</t>
  </si>
  <si>
    <t>Shri. Collinstar Sawkmei</t>
  </si>
  <si>
    <t>Name of Work : Construction of Buss Depot at Mawblei.</t>
  </si>
  <si>
    <t>(a) From primary sources like TATA/SAIL/ESSAR/JINDAL/SHYAM/RINL</t>
  </si>
  <si>
    <t>Supplying, fittinf and fixing in position reinforcement bars upto 1st floor level, conforming to relevent I.S Code for R.C.C work……………..etc</t>
  </si>
  <si>
    <t>In foundation and sub-structure including footing, columns with base, tie and plinth beam, pile cap, raft slab, base slab, RCC wall……………………..</t>
  </si>
  <si>
    <t>(i) Super Ductile (S.D) T.M.T. reinforcement bars.</t>
  </si>
  <si>
    <t>Providing form work of ordinary timber planking of thickness not less than 25mm and removal of the same for concrete members so as to give a rough finish including centering, shuttering, strutting and propping etc., for height of propping and centering of supporting floor to the soffit of the concrete member not exceeding 4.0m as specified for the following items:</t>
  </si>
  <si>
    <t xml:space="preserve">(e) Flat surfaces such as soffits of……… etc.                         </t>
  </si>
  <si>
    <t>(i) Thickness of floors/slab upto 200mm.</t>
  </si>
  <si>
    <r>
      <t>m</t>
    </r>
    <r>
      <rPr>
        <vertAlign val="superscript"/>
        <sz val="9"/>
        <rFont val="ItalicT"/>
      </rPr>
      <t>3</t>
    </r>
  </si>
  <si>
    <t>(b) M20 or prop. 1:11/2:3</t>
  </si>
  <si>
    <t>Providing, fitting, hoisting and fixing of roof trusses fabricated out of combination of any two or all of the following sections (i) Square Section, (ii) Rectangular Hollow section of specification RSH/SHS of Grade 310 conforming to relevant I.S code 4923:1997 ........ etc</t>
  </si>
  <si>
    <t>Rectangular Hollow Section (145 x 82 x 0.48)</t>
  </si>
  <si>
    <t xml:space="preserve"> First Floor</t>
  </si>
  <si>
    <t xml:space="preserve"> Second Floor</t>
  </si>
  <si>
    <t>Beams</t>
  </si>
  <si>
    <t>Lintel Beams</t>
  </si>
  <si>
    <t>10 mm dia.bar :</t>
  </si>
  <si>
    <t>16 mm dia. :-</t>
  </si>
  <si>
    <t>Providing,fitting and fixing steel windows/ventilators (openable) of standard rolled steel sections as per relevant I.S. Code 1038 joints mitred  and welded with 15mm x 3mm x 100mm lugs embedded in cement concrete block of M-10 grade including providing and fixing of projecting hinges( not more than 65 mm and not less than 15 mm wide) bolting device and steel handles, peg stays of 300mm long etc. complete as per drawing including applying a priming coat of red-lead paint.</t>
  </si>
  <si>
    <t xml:space="preserve"> Ground Floor</t>
  </si>
  <si>
    <t>Distempering with dry distemper of approved brand and manufacture(two coats) and of required shade on new wall surface to give an even shade, over and including priming coat of white primer after thoroughly brushing the surface free from mortar droppings and other foreign matter and including preparing surface even and sand papered smooth.</t>
  </si>
  <si>
    <t>Stair case</t>
  </si>
  <si>
    <t>Beam</t>
  </si>
  <si>
    <t>Slab 1</t>
  </si>
  <si>
    <t>Slab 2</t>
  </si>
  <si>
    <t>Slab(S.F)</t>
  </si>
  <si>
    <t>Slab(T.F)</t>
  </si>
  <si>
    <t>Side Slab</t>
  </si>
  <si>
    <t>Side slab</t>
  </si>
  <si>
    <t>Gusset Plate</t>
  </si>
  <si>
    <t>Rivets Bolts &amp; Nuts</t>
  </si>
  <si>
    <t>(c) 0.50mm Thick</t>
  </si>
  <si>
    <t>1/2.8</t>
  </si>
  <si>
    <t>2/2.10</t>
  </si>
  <si>
    <t>3/2.5.1</t>
  </si>
  <si>
    <t>5/11.1</t>
  </si>
  <si>
    <t>First Floor</t>
  </si>
  <si>
    <t>Second Floor</t>
  </si>
  <si>
    <t>Kitchen Platform</t>
  </si>
  <si>
    <t>Kitchen platform</t>
  </si>
  <si>
    <t>Brick nogged wall with 1st class brick in cement mortar including racking out joints and curing complete as directed in super structure above plinth upto 1st floor level (protruding M.S rod/TOR steel of column to be embedded in cement mortar will be measured and paid separately).</t>
  </si>
  <si>
    <t>4/4.6</t>
  </si>
  <si>
    <t>(a) Half brick 112mm thick 1st class brick nogged wall</t>
  </si>
  <si>
    <t xml:space="preserve">(ii) In proportion 1:4 ( 1 cement : 4 sand )                       </t>
  </si>
  <si>
    <t>Ground Floor</t>
  </si>
  <si>
    <t>Doors</t>
  </si>
  <si>
    <t>Railing</t>
  </si>
  <si>
    <t>Walls</t>
  </si>
  <si>
    <t>Providing pre painted galvanised iron sheet roofing (PPGI) (Dyna roof / sathyam / Duracolor/ century wells/ prestar / wonder roof make or equivalent) at all levels including supplying, fitting and fixing with self drilling, self tapping screws complete. ( roof truss, purlins etc. tobe measured and paid separately )</t>
  </si>
  <si>
    <t xml:space="preserve">Providing wood work in frame (chowkats) of doors, windows, clerestory windows and other similar work wrought, framed and fixed in position in contact with C.C or brisk masonry wall including supplying, fitting and fixing with M.S hold fast (40mmx3mmx250mm) as per designed embedded incement concrete vlock an proportion 1:2:4 and with two coats of kiricide oiling to the timber faces in contact with C.C and masonry as directed and specified.                                                            (c) Red Pine </t>
  </si>
  <si>
    <t>Providing, fitting and fixing full panelled doors / windows including ionised M.S butt hinges (100mm x 75mm x 3.55mm) with necessary screws (other fitting tobe measured and paid separately).                                                                         (b.) 35mm thick</t>
  </si>
  <si>
    <t>6/8.2( c)</t>
  </si>
  <si>
    <t>8/5.2</t>
  </si>
  <si>
    <t>9/13.1</t>
  </si>
  <si>
    <t>Providing and fixing clear sheet glass bedded in putty and fixed with/without wooden beading including necessary cutting of glass to the required size…………………….etc</t>
  </si>
  <si>
    <t>(c) 5 mm Thick</t>
  </si>
  <si>
    <t>10/17.5</t>
  </si>
  <si>
    <t>11/7.35</t>
  </si>
  <si>
    <t>12/15.18</t>
  </si>
  <si>
    <t>34.1.3 Vitreous water closet squatting pan(Indian Type W.C</t>
  </si>
  <si>
    <t xml:space="preserve">  Orissa pathern) of size 530x410 mm</t>
  </si>
  <si>
    <t>Providing fitting and fixing vitreous water closet squatting pan (Indian type W.C Orissa Pattern) with all fittings and fixtures complete including cutting and making good to the walls and floors wherever required…….etc</t>
  </si>
  <si>
    <t>Each</t>
  </si>
  <si>
    <t>/Each</t>
  </si>
  <si>
    <t>Providing vitreous China wash basin with CI/MS brackets, C.P brass Chain with plug, PVC waste pipe including painting of fitting and brackets, cutting and makin good the walls wherever required…….etc</t>
  </si>
  <si>
    <t>34.13.1 Basin (Pedestal type)</t>
  </si>
  <si>
    <t>(a) White.</t>
  </si>
  <si>
    <t>(i) Normal</t>
  </si>
  <si>
    <t>13/34.1</t>
  </si>
  <si>
    <t>14/34.13</t>
  </si>
  <si>
    <t>Slab(G.F) &amp; Floor</t>
  </si>
  <si>
    <t>(c) Red Pine</t>
  </si>
  <si>
    <t>(a) With Teak wood/Sissu Wood.</t>
  </si>
  <si>
    <t xml:space="preserve">    (ii) 35 mm Thick.</t>
  </si>
  <si>
    <t>7/8.19</t>
  </si>
  <si>
    <t>(a) In Cement mortar 1:3</t>
  </si>
  <si>
    <t>Roof Floor</t>
  </si>
  <si>
    <t>ESTIMATE FOR CONSTRUCTION OF HOUSING SLUMP AT NONGMYNSONG,SHILLONG,MEGHALAYA.(Block no.35)</t>
  </si>
  <si>
    <r>
      <t xml:space="preserve">    </t>
    </r>
    <r>
      <rPr>
        <b/>
        <u/>
        <sz val="8"/>
        <rFont val="ItalicT"/>
      </rPr>
      <t>(As per Meghalaya PWD Schedules of Rates for Building Works (2015-16) &amp; Roads (2015-2016))</t>
    </r>
  </si>
  <si>
    <r>
      <t>m</t>
    </r>
    <r>
      <rPr>
        <vertAlign val="superscript"/>
        <sz val="9"/>
        <color theme="3" tint="-0.499984740745262"/>
        <rFont val="ItalicT"/>
      </rPr>
      <t>2</t>
    </r>
  </si>
  <si>
    <t xml:space="preserve"> Roof Floor</t>
  </si>
  <si>
    <r>
      <t>/m</t>
    </r>
    <r>
      <rPr>
        <vertAlign val="superscript"/>
        <sz val="9"/>
        <color theme="3" tint="-0.499984740745262"/>
        <rFont val="ItalicT"/>
      </rPr>
      <t>2</t>
    </r>
  </si>
  <si>
    <r>
      <t>m</t>
    </r>
    <r>
      <rPr>
        <vertAlign val="superscript"/>
        <sz val="9"/>
        <color theme="3" tint="-0.499984740745262"/>
        <rFont val="ItalicT"/>
      </rPr>
      <t>3</t>
    </r>
  </si>
  <si>
    <r>
      <t>/m</t>
    </r>
    <r>
      <rPr>
        <vertAlign val="superscript"/>
        <sz val="9"/>
        <rFont val="ItalicT"/>
      </rPr>
      <t>3</t>
    </r>
  </si>
  <si>
    <t>Deduction:</t>
  </si>
  <si>
    <t>windows</t>
  </si>
  <si>
    <t>Ventilator</t>
  </si>
  <si>
    <r>
      <t>/m</t>
    </r>
    <r>
      <rPr>
        <vertAlign val="superscript"/>
        <sz val="9"/>
        <rFont val="ItalicT"/>
      </rPr>
      <t>2</t>
    </r>
  </si>
  <si>
    <t>Slab(ceilings)</t>
  </si>
  <si>
    <r>
      <t>15 mm thick Cement plaster in single coat on rough side of single or half brick wall for interior plastering up to 1</t>
    </r>
    <r>
      <rPr>
        <vertAlign val="superscript"/>
        <sz val="9"/>
        <rFont val="ItalicT"/>
      </rPr>
      <t xml:space="preserve">st </t>
    </r>
    <r>
      <rPr>
        <sz val="9"/>
        <rFont val="ItalicT"/>
      </rPr>
      <t>floor level including arises……………………etc</t>
    </r>
  </si>
  <si>
    <t>66,69,639.00</t>
  </si>
  <si>
    <t>(Rupees:Sixtysix Lakhs Sixty Nine Thousand Six Hundred and Thirtynine ) only</t>
  </si>
</sst>
</file>

<file path=xl/styles.xml><?xml version="1.0" encoding="utf-8"?>
<styleSheet xmlns="http://schemas.openxmlformats.org/spreadsheetml/2006/main">
  <numFmts count="6">
    <numFmt numFmtId="43" formatCode="_ * #,##0.00_ ;_ * \-#,##0.00_ ;_ * &quot;-&quot;??_ ;_ @_ "/>
    <numFmt numFmtId="164" formatCode="_(* #,##0.00_);_(* \(#,##0.00\);_(* &quot;-&quot;??_);_(@_)"/>
    <numFmt numFmtId="165" formatCode="0.0"/>
    <numFmt numFmtId="166" formatCode="0.000"/>
    <numFmt numFmtId="167" formatCode="0.000%"/>
    <numFmt numFmtId="168" formatCode="0.0%"/>
  </numFmts>
  <fonts count="68">
    <font>
      <sz val="10"/>
      <name val="Arial"/>
    </font>
    <font>
      <sz val="10"/>
      <name val="Arial"/>
      <family val="2"/>
    </font>
    <font>
      <b/>
      <sz val="10"/>
      <name val="Arial"/>
      <family val="2"/>
    </font>
    <font>
      <sz val="9"/>
      <name val="Arial"/>
      <family val="2"/>
    </font>
    <font>
      <vertAlign val="superscript"/>
      <sz val="10"/>
      <name val="Arial"/>
      <family val="2"/>
    </font>
    <font>
      <sz val="8"/>
      <name val="Arial"/>
      <family val="2"/>
    </font>
    <font>
      <sz val="10"/>
      <name val="Arial"/>
      <family val="2"/>
    </font>
    <font>
      <sz val="12"/>
      <name val="Arial"/>
      <family val="2"/>
    </font>
    <font>
      <b/>
      <u/>
      <sz val="10"/>
      <name val="Arial"/>
      <family val="2"/>
    </font>
    <font>
      <b/>
      <vertAlign val="superscript"/>
      <sz val="10"/>
      <name val="Arial"/>
      <family val="2"/>
    </font>
    <font>
      <b/>
      <sz val="10"/>
      <name val="Arial"/>
      <family val="2"/>
    </font>
    <font>
      <sz val="10"/>
      <name val="ItalicT"/>
    </font>
    <font>
      <b/>
      <u/>
      <sz val="9"/>
      <color theme="1"/>
      <name val="ItalicT"/>
    </font>
    <font>
      <b/>
      <sz val="9"/>
      <color theme="1"/>
      <name val="ItalicT"/>
    </font>
    <font>
      <b/>
      <sz val="10"/>
      <name val="ItalicT"/>
    </font>
    <font>
      <b/>
      <u/>
      <sz val="14"/>
      <color theme="1"/>
      <name val="ItalicT"/>
    </font>
    <font>
      <b/>
      <sz val="10"/>
      <color theme="1"/>
      <name val="ItalicT"/>
    </font>
    <font>
      <sz val="10"/>
      <color theme="1"/>
      <name val="ItalicT"/>
    </font>
    <font>
      <b/>
      <u/>
      <sz val="11"/>
      <color theme="1"/>
      <name val="ItalicT"/>
    </font>
    <font>
      <sz val="11"/>
      <name val="ItalicT"/>
    </font>
    <font>
      <sz val="9"/>
      <color theme="1"/>
      <name val="ItalicT"/>
    </font>
    <font>
      <sz val="9"/>
      <name val="ItalicT"/>
    </font>
    <font>
      <vertAlign val="superscript"/>
      <sz val="9"/>
      <color theme="1"/>
      <name val="ItalicT"/>
    </font>
    <font>
      <vertAlign val="superscript"/>
      <sz val="9"/>
      <name val="ItalicT"/>
    </font>
    <font>
      <b/>
      <sz val="9"/>
      <name val="ItalicT"/>
    </font>
    <font>
      <b/>
      <sz val="8"/>
      <name val="ItalicT"/>
    </font>
    <font>
      <sz val="8"/>
      <name val="ItalicT"/>
    </font>
    <font>
      <b/>
      <sz val="8"/>
      <color theme="1"/>
      <name val="ItalicT"/>
    </font>
    <font>
      <sz val="8"/>
      <color theme="1"/>
      <name val="ItalicT"/>
    </font>
    <font>
      <b/>
      <u/>
      <sz val="8"/>
      <color theme="1"/>
      <name val="ItalicT"/>
    </font>
    <font>
      <b/>
      <u/>
      <sz val="10"/>
      <color theme="1"/>
      <name val="ItalicT"/>
    </font>
    <font>
      <u/>
      <sz val="9"/>
      <color theme="1"/>
      <name val="ItalicT"/>
    </font>
    <font>
      <b/>
      <u/>
      <sz val="12"/>
      <color theme="1"/>
      <name val="ItalicT"/>
    </font>
    <font>
      <b/>
      <sz val="11"/>
      <color theme="1"/>
      <name val="ItalicT"/>
    </font>
    <font>
      <b/>
      <i/>
      <sz val="9"/>
      <color theme="1"/>
      <name val="ItalicT"/>
    </font>
    <font>
      <sz val="11"/>
      <name val="Times New Roman"/>
      <family val="1"/>
    </font>
    <font>
      <sz val="10"/>
      <color theme="1"/>
      <name val="Arial"/>
      <family val="2"/>
    </font>
    <font>
      <vertAlign val="superscript"/>
      <sz val="10"/>
      <color theme="1"/>
      <name val="ItalicT"/>
    </font>
    <font>
      <b/>
      <i/>
      <u/>
      <sz val="11"/>
      <color theme="1"/>
      <name val="Calibri"/>
      <family val="2"/>
      <scheme val="minor"/>
    </font>
    <font>
      <b/>
      <i/>
      <sz val="11"/>
      <color theme="1"/>
      <name val="Calibri"/>
      <family val="2"/>
      <scheme val="minor"/>
    </font>
    <font>
      <b/>
      <sz val="10"/>
      <color theme="1"/>
      <name val="Arial"/>
      <family val="2"/>
    </font>
    <font>
      <sz val="8"/>
      <color theme="1"/>
      <name val="Arial"/>
      <family val="2"/>
    </font>
    <font>
      <b/>
      <u/>
      <sz val="11"/>
      <name val="Arial"/>
      <family val="2"/>
    </font>
    <font>
      <sz val="11"/>
      <name val="Arial"/>
      <family val="2"/>
    </font>
    <font>
      <vertAlign val="superscript"/>
      <sz val="11"/>
      <name val="Arial"/>
      <family val="2"/>
    </font>
    <font>
      <u/>
      <sz val="10"/>
      <name val="Arial"/>
      <family val="2"/>
    </font>
    <font>
      <sz val="10"/>
      <name val="Calibri"/>
      <family val="2"/>
    </font>
    <font>
      <b/>
      <u/>
      <sz val="10"/>
      <color theme="1"/>
      <name val="Arial"/>
      <family val="2"/>
    </font>
    <font>
      <b/>
      <sz val="11"/>
      <name val="Arial"/>
      <family val="2"/>
    </font>
    <font>
      <b/>
      <sz val="8"/>
      <color rgb="FFFF0000"/>
      <name val="ItalicT"/>
    </font>
    <font>
      <sz val="9"/>
      <color rgb="FFFF0000"/>
      <name val="ItalicT"/>
    </font>
    <font>
      <sz val="10"/>
      <color rgb="FFFF0000"/>
      <name val="ItalicT"/>
    </font>
    <font>
      <sz val="10"/>
      <color rgb="FFFF0000"/>
      <name val="Arial"/>
      <family val="2"/>
    </font>
    <font>
      <b/>
      <sz val="10"/>
      <color rgb="FFFF0000"/>
      <name val="ItalicT"/>
    </font>
    <font>
      <sz val="8"/>
      <color rgb="FFFF0000"/>
      <name val="ItalicT"/>
    </font>
    <font>
      <b/>
      <sz val="11"/>
      <color rgb="FFFF0000"/>
      <name val="Times New Roman"/>
      <family val="1"/>
    </font>
    <font>
      <sz val="11"/>
      <color rgb="FFFF0000"/>
      <name val="Times New Roman"/>
      <family val="1"/>
    </font>
    <font>
      <b/>
      <sz val="8"/>
      <color theme="3" tint="-0.499984740745262"/>
      <name val="ItalicT"/>
    </font>
    <font>
      <b/>
      <sz val="9"/>
      <color theme="3" tint="-0.499984740745262"/>
      <name val="ItalicT"/>
    </font>
    <font>
      <sz val="9"/>
      <color theme="3" tint="-0.499984740745262"/>
      <name val="ItalicT"/>
    </font>
    <font>
      <sz val="10"/>
      <color theme="3" tint="-0.499984740745262"/>
      <name val="ItalicT"/>
    </font>
    <font>
      <b/>
      <u/>
      <sz val="10"/>
      <name val="ItalicT"/>
    </font>
    <font>
      <b/>
      <u/>
      <sz val="8"/>
      <name val="ItalicT"/>
    </font>
    <font>
      <b/>
      <u/>
      <sz val="14"/>
      <name val="ItalicT"/>
    </font>
    <font>
      <b/>
      <u/>
      <sz val="11"/>
      <name val="ItalicT"/>
    </font>
    <font>
      <vertAlign val="superscript"/>
      <sz val="9"/>
      <color theme="3" tint="-0.499984740745262"/>
      <name val="ItalicT"/>
    </font>
    <font>
      <b/>
      <sz val="10"/>
      <color theme="3" tint="-0.499984740745262"/>
      <name val="ItalicT"/>
    </font>
    <font>
      <b/>
      <sz val="12"/>
      <color theme="3" tint="-0.499984740745262"/>
      <name val="ItalicT"/>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129">
    <xf numFmtId="0" fontId="0" fillId="0" borderId="0" xfId="0"/>
    <xf numFmtId="0" fontId="0" fillId="0" borderId="0" xfId="0" quotePrefix="1"/>
    <xf numFmtId="2" fontId="0" fillId="0" borderId="0" xfId="0" applyNumberFormat="1"/>
    <xf numFmtId="0" fontId="2" fillId="0" borderId="0" xfId="0" applyFont="1"/>
    <xf numFmtId="0" fontId="0" fillId="0" borderId="0" xfId="0" quotePrefix="1" applyAlignment="1">
      <alignment horizontal="right" vertical="top"/>
    </xf>
    <xf numFmtId="0" fontId="3" fillId="0" borderId="0" xfId="0" quotePrefix="1" applyFont="1"/>
    <xf numFmtId="0" fontId="3" fillId="0" borderId="0" xfId="0" applyFont="1"/>
    <xf numFmtId="2" fontId="0" fillId="0" borderId="0" xfId="0" applyNumberFormat="1" applyAlignment="1">
      <alignment horizontal="center"/>
    </xf>
    <xf numFmtId="2" fontId="0" fillId="0" borderId="0" xfId="0" quotePrefix="1" applyNumberFormat="1" applyAlignment="1">
      <alignment horizontal="right"/>
    </xf>
    <xf numFmtId="0" fontId="0" fillId="0" borderId="0" xfId="0" quotePrefix="1" applyAlignment="1">
      <alignment horizontal="left"/>
    </xf>
    <xf numFmtId="0" fontId="0" fillId="0" borderId="0" xfId="0" applyAlignment="1">
      <alignment horizontal="left"/>
    </xf>
    <xf numFmtId="43" fontId="0" fillId="0" borderId="0" xfId="1" applyFont="1"/>
    <xf numFmtId="2" fontId="0" fillId="0" borderId="1" xfId="0" applyNumberFormat="1" applyBorder="1"/>
    <xf numFmtId="0" fontId="0" fillId="0" borderId="1" xfId="0" applyBorder="1"/>
    <xf numFmtId="0" fontId="0" fillId="0" borderId="1" xfId="0" quotePrefix="1" applyBorder="1"/>
    <xf numFmtId="0" fontId="0" fillId="0" borderId="0" xfId="0" applyAlignment="1">
      <alignment vertical="center"/>
    </xf>
    <xf numFmtId="0" fontId="0" fillId="0" borderId="0" xfId="0" applyAlignment="1">
      <alignment horizontal="right"/>
    </xf>
    <xf numFmtId="2" fontId="0" fillId="0" borderId="0" xfId="0" applyNumberFormat="1" applyAlignment="1">
      <alignment horizontal="right"/>
    </xf>
    <xf numFmtId="0" fontId="0" fillId="0" borderId="0" xfId="0" applyBorder="1"/>
    <xf numFmtId="2" fontId="0" fillId="0" borderId="0" xfId="0" applyNumberFormat="1" applyBorder="1"/>
    <xf numFmtId="0" fontId="0" fillId="0" borderId="0" xfId="0" applyAlignment="1">
      <alignment horizontal="center"/>
    </xf>
    <xf numFmtId="0" fontId="0" fillId="0" borderId="0" xfId="0" applyAlignment="1"/>
    <xf numFmtId="0" fontId="0" fillId="0" borderId="0" xfId="0" quotePrefix="1" applyAlignment="1">
      <alignment horizontal="right"/>
    </xf>
    <xf numFmtId="0" fontId="0" fillId="0" borderId="1" xfId="0" applyBorder="1" applyAlignment="1">
      <alignment horizontal="right"/>
    </xf>
    <xf numFmtId="2" fontId="0" fillId="0" borderId="0" xfId="0" applyNumberFormat="1" applyAlignment="1"/>
    <xf numFmtId="0" fontId="0" fillId="0" borderId="0" xfId="0" applyBorder="1" applyAlignment="1">
      <alignment horizontal="right"/>
    </xf>
    <xf numFmtId="43" fontId="2" fillId="0" borderId="0" xfId="1" applyFont="1"/>
    <xf numFmtId="43" fontId="0" fillId="0" borderId="1" xfId="1" applyFont="1" applyBorder="1"/>
    <xf numFmtId="43" fontId="2" fillId="0" borderId="0" xfId="0" applyNumberFormat="1" applyFont="1"/>
    <xf numFmtId="0" fontId="0" fillId="0" borderId="0" xfId="0" quotePrefix="1"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quotePrefix="1" applyBorder="1" applyAlignment="1">
      <alignment horizontal="center"/>
    </xf>
    <xf numFmtId="0" fontId="0" fillId="0" borderId="0" xfId="0" applyBorder="1" applyAlignment="1">
      <alignment horizontal="center"/>
    </xf>
    <xf numFmtId="2" fontId="0" fillId="0" borderId="0" xfId="0" applyNumberFormat="1" applyBorder="1" applyAlignment="1">
      <alignment horizontal="center"/>
    </xf>
    <xf numFmtId="0" fontId="0" fillId="0" borderId="0" xfId="0" quotePrefix="1" applyBorder="1" applyAlignment="1">
      <alignment horizontal="center"/>
    </xf>
    <xf numFmtId="1" fontId="0" fillId="0" borderId="0" xfId="0" applyNumberFormat="1" applyAlignment="1">
      <alignment horizontal="center"/>
    </xf>
    <xf numFmtId="2" fontId="0" fillId="0" borderId="0" xfId="0" applyNumberForma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2"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right" vertical="top"/>
    </xf>
    <xf numFmtId="0" fontId="1" fillId="0" borderId="0" xfId="0" applyFont="1"/>
    <xf numFmtId="166" fontId="0" fillId="0" borderId="0" xfId="0" applyNumberFormat="1" applyAlignment="1">
      <alignment horizontal="center"/>
    </xf>
    <xf numFmtId="2"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0" xfId="0" quotePrefix="1" applyAlignment="1"/>
    <xf numFmtId="0" fontId="0" fillId="0" borderId="0" xfId="0" quotePrefix="1" applyFill="1" applyBorder="1"/>
    <xf numFmtId="0" fontId="2" fillId="0" borderId="0" xfId="0" applyFont="1" applyAlignment="1">
      <alignment horizontal="right"/>
    </xf>
    <xf numFmtId="0" fontId="2" fillId="0" borderId="0" xfId="0" quotePrefix="1" applyFont="1" applyAlignment="1">
      <alignment horizontal="center"/>
    </xf>
    <xf numFmtId="0" fontId="3" fillId="0" borderId="0" xfId="0" applyFont="1" applyBorder="1" applyAlignment="1">
      <alignment horizontal="right"/>
    </xf>
    <xf numFmtId="0" fontId="0" fillId="0" borderId="0" xfId="0" quotePrefix="1" applyAlignment="1">
      <alignment horizontal="right" vertical="top" wrapText="1"/>
    </xf>
    <xf numFmtId="0" fontId="0" fillId="0" borderId="0" xfId="0" quotePrefix="1" applyAlignment="1">
      <alignment vertical="top" wrapText="1"/>
    </xf>
    <xf numFmtId="0" fontId="0" fillId="0" borderId="0" xfId="0" quotePrefix="1" applyAlignment="1">
      <alignment horizontal="left" vertical="top" wrapText="1"/>
    </xf>
    <xf numFmtId="0" fontId="0" fillId="0" borderId="0" xfId="0" quotePrefix="1" applyAlignment="1">
      <alignment horizontal="left" vertical="top"/>
    </xf>
    <xf numFmtId="0" fontId="3" fillId="0" borderId="0" xfId="0" applyFont="1" applyBorder="1"/>
    <xf numFmtId="43" fontId="0" fillId="0" borderId="0" xfId="1" applyFont="1" applyBorder="1"/>
    <xf numFmtId="0" fontId="2" fillId="0" borderId="0" xfId="0" applyFont="1" applyBorder="1" applyAlignment="1">
      <alignment horizontal="right"/>
    </xf>
    <xf numFmtId="0" fontId="2" fillId="0" borderId="0" xfId="0" applyFont="1" applyAlignment="1">
      <alignment horizontal="center"/>
    </xf>
    <xf numFmtId="2" fontId="0" fillId="0" borderId="0" xfId="0" quotePrefix="1" applyNumberFormat="1" applyAlignment="1">
      <alignment horizontal="center"/>
    </xf>
    <xf numFmtId="0" fontId="1" fillId="0" borderId="0" xfId="0" applyFont="1" applyBorder="1"/>
    <xf numFmtId="0" fontId="1" fillId="0" borderId="0" xfId="0" applyFont="1" applyBorder="1" applyAlignment="1">
      <alignment horizontal="right"/>
    </xf>
    <xf numFmtId="0" fontId="1" fillId="0" borderId="1" xfId="0" applyFont="1" applyBorder="1"/>
    <xf numFmtId="0" fontId="0" fillId="0" borderId="0" xfId="0" applyBorder="1" applyAlignment="1">
      <alignment horizontal="left"/>
    </xf>
    <xf numFmtId="0" fontId="6" fillId="0" borderId="0" xfId="0" applyFont="1" applyBorder="1" applyAlignment="1">
      <alignment horizontal="left"/>
    </xf>
    <xf numFmtId="43" fontId="0" fillId="0" borderId="0" xfId="1" applyFont="1" applyAlignment="1">
      <alignment horizontal="right"/>
    </xf>
    <xf numFmtId="2" fontId="0" fillId="0" borderId="0" xfId="0" quotePrefix="1" applyNumberFormat="1"/>
    <xf numFmtId="2" fontId="6" fillId="0" borderId="0" xfId="0" applyNumberFormat="1" applyFont="1" applyBorder="1" applyAlignment="1">
      <alignment horizontal="right"/>
    </xf>
    <xf numFmtId="0" fontId="0" fillId="0" borderId="0" xfId="0" quotePrefix="1" applyBorder="1" applyAlignment="1">
      <alignment horizontal="center" vertical="center"/>
    </xf>
    <xf numFmtId="2" fontId="0" fillId="0" borderId="0" xfId="0" applyNumberFormat="1" applyBorder="1" applyAlignment="1">
      <alignment horizontal="right" vertical="center"/>
    </xf>
    <xf numFmtId="0" fontId="0" fillId="0" borderId="0" xfId="0" applyBorder="1" applyAlignment="1">
      <alignment vertical="center"/>
    </xf>
    <xf numFmtId="2" fontId="0" fillId="0" borderId="0" xfId="0" applyNumberFormat="1" applyBorder="1" applyAlignment="1">
      <alignment vertical="center"/>
    </xf>
    <xf numFmtId="0" fontId="0" fillId="0" borderId="0" xfId="0" applyBorder="1" applyAlignment="1">
      <alignment horizontal="right" vertical="top"/>
    </xf>
    <xf numFmtId="0" fontId="0" fillId="0" borderId="0" xfId="0" applyBorder="1" applyAlignment="1">
      <alignment vertical="top" wrapText="1"/>
    </xf>
    <xf numFmtId="0" fontId="3" fillId="0" borderId="0" xfId="0" quotePrefix="1" applyFont="1" applyBorder="1"/>
    <xf numFmtId="0" fontId="0" fillId="0" borderId="0" xfId="0" quotePrefix="1" applyBorder="1"/>
    <xf numFmtId="0" fontId="3" fillId="0" borderId="0" xfId="0" quotePrefix="1" applyFont="1" applyBorder="1" applyAlignment="1">
      <alignment horizontal="left" vertical="center"/>
    </xf>
    <xf numFmtId="1" fontId="0" fillId="0" borderId="0" xfId="0" applyNumberFormat="1" applyBorder="1" applyAlignment="1">
      <alignment horizontal="center" vertical="center"/>
    </xf>
    <xf numFmtId="2" fontId="0" fillId="0" borderId="0" xfId="0" applyNumberFormat="1" applyBorder="1" applyAlignment="1">
      <alignment horizontal="right"/>
    </xf>
    <xf numFmtId="0" fontId="0" fillId="0" borderId="0" xfId="0" quotePrefix="1" applyBorder="1" applyAlignment="1">
      <alignment horizontal="right" vertical="center"/>
    </xf>
    <xf numFmtId="2" fontId="0" fillId="0" borderId="0" xfId="0" quotePrefix="1" applyNumberFormat="1" applyBorder="1" applyAlignment="1">
      <alignment horizontal="right"/>
    </xf>
    <xf numFmtId="0" fontId="0" fillId="0" borderId="0" xfId="0" quotePrefix="1" applyBorder="1" applyAlignment="1">
      <alignment horizontal="left"/>
    </xf>
    <xf numFmtId="0" fontId="3" fillId="0" borderId="0" xfId="0" applyFont="1" applyBorder="1" applyAlignment="1">
      <alignment horizontal="left" vertical="center"/>
    </xf>
    <xf numFmtId="2" fontId="0" fillId="0" borderId="1" xfId="0" applyNumberFormat="1" applyBorder="1" applyAlignment="1">
      <alignment vertical="center"/>
    </xf>
    <xf numFmtId="0" fontId="7" fillId="0" borderId="0" xfId="0" applyFont="1" applyAlignment="1">
      <alignment horizontal="left"/>
    </xf>
    <xf numFmtId="0" fontId="7" fillId="0" borderId="0" xfId="0" applyFont="1" applyAlignment="1"/>
    <xf numFmtId="166" fontId="0" fillId="0" borderId="1" xfId="0" applyNumberFormat="1" applyBorder="1"/>
    <xf numFmtId="0" fontId="2" fillId="0" borderId="0" xfId="0" applyFont="1" applyAlignment="1">
      <alignment horizontal="center" vertical="center" wrapText="1"/>
    </xf>
    <xf numFmtId="2" fontId="0" fillId="0" borderId="0" xfId="0" quotePrefix="1" applyNumberFormat="1" applyBorder="1" applyAlignment="1">
      <alignment horizontal="center" vertical="center"/>
    </xf>
    <xf numFmtId="0" fontId="2" fillId="0" borderId="0" xfId="0" quotePrefix="1" applyFont="1" applyBorder="1" applyAlignment="1">
      <alignment horizontal="center"/>
    </xf>
    <xf numFmtId="0" fontId="0" fillId="0" borderId="0" xfId="0" applyAlignment="1">
      <alignment horizontal="justify" vertical="top" wrapText="1"/>
    </xf>
    <xf numFmtId="0" fontId="0" fillId="0" borderId="0" xfId="0" applyAlignment="1">
      <alignment vertical="top" wrapText="1"/>
    </xf>
    <xf numFmtId="0" fontId="8" fillId="0" borderId="0" xfId="0" applyFont="1" applyAlignment="1">
      <alignment horizontal="center" vertical="center" wrapText="1"/>
    </xf>
    <xf numFmtId="0" fontId="0" fillId="0" borderId="0" xfId="0" applyAlignment="1">
      <alignment horizontal="left" vertical="top" wrapText="1"/>
    </xf>
    <xf numFmtId="0" fontId="0" fillId="0" borderId="0" xfId="0" quotePrefix="1" applyAlignment="1">
      <alignment horizontal="center" vertical="top" wrapText="1"/>
    </xf>
    <xf numFmtId="2" fontId="0" fillId="0" borderId="0" xfId="0" quotePrefix="1" applyNumberFormat="1" applyBorder="1" applyAlignment="1">
      <alignment horizontal="center"/>
    </xf>
    <xf numFmtId="0" fontId="0" fillId="0" borderId="0" xfId="0" applyAlignment="1">
      <alignment vertical="top"/>
    </xf>
    <xf numFmtId="0" fontId="0" fillId="0" borderId="0" xfId="0" applyAlignment="1">
      <alignment horizontal="left" vertical="top"/>
    </xf>
    <xf numFmtId="165" fontId="0" fillId="0" borderId="0" xfId="0" applyNumberFormat="1" applyBorder="1" applyAlignment="1">
      <alignment horizontal="center"/>
    </xf>
    <xf numFmtId="2" fontId="0" fillId="0" borderId="1" xfId="0" applyNumberFormat="1" applyBorder="1" applyAlignment="1"/>
    <xf numFmtId="0" fontId="0" fillId="0" borderId="0" xfId="0" applyBorder="1" applyAlignment="1"/>
    <xf numFmtId="0" fontId="1" fillId="0" borderId="0" xfId="0" quotePrefix="1" applyFont="1" applyAlignment="1">
      <alignment horizontal="left"/>
    </xf>
    <xf numFmtId="0" fontId="1" fillId="0" borderId="0" xfId="0" applyFont="1" applyAlignment="1">
      <alignment horizontal="left"/>
    </xf>
    <xf numFmtId="0" fontId="0" fillId="0" borderId="1" xfId="0" applyBorder="1" applyAlignment="1">
      <alignment horizontal="left" vertical="top" wrapText="1"/>
    </xf>
    <xf numFmtId="0" fontId="0" fillId="0" borderId="0" xfId="0" applyAlignment="1">
      <alignment horizontal="right" vertical="center"/>
    </xf>
    <xf numFmtId="2" fontId="0" fillId="0" borderId="0" xfId="0" applyNumberFormat="1" applyAlignment="1">
      <alignment horizontal="right" vertical="center"/>
    </xf>
    <xf numFmtId="0" fontId="6" fillId="0" borderId="0" xfId="0" quotePrefix="1" applyFont="1" applyAlignment="1">
      <alignment horizontal="left" vertical="center"/>
    </xf>
    <xf numFmtId="0" fontId="2" fillId="0" borderId="0" xfId="0" applyFont="1" applyAlignment="1">
      <alignment horizontal="center" vertical="top" wrapText="1"/>
    </xf>
    <xf numFmtId="0" fontId="2" fillId="0" borderId="0" xfId="0" applyFont="1" applyAlignment="1">
      <alignment horizontal="center" vertical="top"/>
    </xf>
    <xf numFmtId="0" fontId="8" fillId="0" borderId="0" xfId="0" applyFont="1" applyAlignment="1">
      <alignment horizontal="center" vertical="center"/>
    </xf>
    <xf numFmtId="43" fontId="2" fillId="0" borderId="0" xfId="0" applyNumberFormat="1" applyFont="1" applyBorder="1"/>
    <xf numFmtId="0" fontId="2" fillId="0" borderId="0" xfId="0" applyFont="1" applyAlignment="1">
      <alignment vertical="center"/>
    </xf>
    <xf numFmtId="0" fontId="2" fillId="0" borderId="0" xfId="0" quotePrefix="1" applyFont="1" applyAlignment="1">
      <alignment horizontal="center" vertical="center"/>
    </xf>
    <xf numFmtId="0" fontId="2" fillId="0" borderId="0" xfId="0" applyFont="1" applyAlignment="1">
      <alignment horizontal="right" vertical="center"/>
    </xf>
    <xf numFmtId="43" fontId="2" fillId="0" borderId="0" xfId="0" applyNumberFormat="1" applyFont="1" applyAlignment="1">
      <alignment vertical="center"/>
    </xf>
    <xf numFmtId="0" fontId="0" fillId="0" borderId="0" xfId="0" applyBorder="1" applyAlignment="1">
      <alignment horizontal="left" vertical="top" wrapText="1"/>
    </xf>
    <xf numFmtId="0" fontId="8" fillId="0" borderId="0" xfId="0" applyFont="1" applyAlignment="1">
      <alignment horizontal="center" vertical="top"/>
    </xf>
    <xf numFmtId="0" fontId="2" fillId="0" borderId="0" xfId="0" applyFont="1" applyBorder="1" applyAlignment="1">
      <alignment horizontal="center"/>
    </xf>
    <xf numFmtId="0" fontId="0" fillId="0" borderId="0" xfId="0" applyBorder="1" applyAlignment="1">
      <alignment horizontal="left" vertical="top"/>
    </xf>
    <xf numFmtId="0" fontId="0" fillId="0" borderId="0" xfId="0" quotePrefix="1" applyBorder="1" applyAlignment="1">
      <alignment horizontal="left" vertical="top" wrapText="1"/>
    </xf>
    <xf numFmtId="0" fontId="0" fillId="0" borderId="0" xfId="0" quotePrefix="1" applyBorder="1" applyAlignment="1">
      <alignment horizontal="center" vertical="top" wrapText="1"/>
    </xf>
    <xf numFmtId="2" fontId="0" fillId="0" borderId="0" xfId="0" applyNumberFormat="1" applyBorder="1" applyAlignment="1">
      <alignment horizontal="right" vertical="top" wrapText="1"/>
    </xf>
    <xf numFmtId="2" fontId="0" fillId="0" borderId="0" xfId="0" applyNumberFormat="1" applyBorder="1" applyAlignment="1">
      <alignment horizontal="right" vertical="top"/>
    </xf>
    <xf numFmtId="0" fontId="0" fillId="0" borderId="1" xfId="0" applyBorder="1" applyAlignment="1">
      <alignment horizontal="left" vertical="top"/>
    </xf>
    <xf numFmtId="0" fontId="0" fillId="0" borderId="1" xfId="0" quotePrefix="1" applyBorder="1" applyAlignment="1">
      <alignment horizontal="left" vertical="top" wrapText="1"/>
    </xf>
    <xf numFmtId="2" fontId="0" fillId="0" borderId="1" xfId="0" applyNumberFormat="1" applyBorder="1" applyAlignment="1">
      <alignment horizontal="right" vertical="top"/>
    </xf>
    <xf numFmtId="166" fontId="0" fillId="0" borderId="0" xfId="0" applyNumberFormat="1" applyBorder="1" applyAlignment="1">
      <alignment horizontal="right" vertical="top" wrapText="1"/>
    </xf>
    <xf numFmtId="0" fontId="0" fillId="0" borderId="0" xfId="0" quotePrefix="1" applyAlignment="1">
      <alignment horizontal="center" vertical="top"/>
    </xf>
    <xf numFmtId="2" fontId="2" fillId="0" borderId="0" xfId="0" applyNumberFormat="1" applyFont="1" applyBorder="1" applyAlignment="1">
      <alignment horizontal="center" vertical="center"/>
    </xf>
    <xf numFmtId="0" fontId="1" fillId="0" borderId="0" xfId="0" quotePrefix="1" applyFont="1" applyAlignment="1">
      <alignment horizontal="center"/>
    </xf>
    <xf numFmtId="0" fontId="10" fillId="0" borderId="0" xfId="0" applyFont="1" applyAlignment="1">
      <alignment horizontal="right"/>
    </xf>
    <xf numFmtId="43" fontId="6" fillId="0" borderId="0" xfId="0" applyNumberFormat="1" applyFont="1" applyBorder="1" applyAlignment="1">
      <alignment horizontal="right"/>
    </xf>
    <xf numFmtId="0" fontId="10" fillId="0" borderId="1" xfId="0" applyFont="1" applyBorder="1" applyAlignment="1">
      <alignment horizontal="right"/>
    </xf>
    <xf numFmtId="43" fontId="10" fillId="0" borderId="1" xfId="0" applyNumberFormat="1" applyFont="1" applyBorder="1" applyAlignment="1">
      <alignment horizontal="right"/>
    </xf>
    <xf numFmtId="43" fontId="10" fillId="0" borderId="0" xfId="0" applyNumberFormat="1" applyFont="1" applyBorder="1" applyAlignment="1">
      <alignment horizontal="right"/>
    </xf>
    <xf numFmtId="0" fontId="1" fillId="0" borderId="0" xfId="0" applyFont="1" applyAlignment="1">
      <alignment horizontal="right"/>
    </xf>
    <xf numFmtId="0" fontId="2" fillId="0" borderId="1" xfId="0" applyFont="1" applyBorder="1"/>
    <xf numFmtId="2" fontId="2" fillId="0" borderId="0" xfId="0" applyNumberFormat="1" applyFont="1" applyBorder="1" applyAlignment="1">
      <alignment horizontal="left" vertical="center"/>
    </xf>
    <xf numFmtId="43" fontId="2" fillId="0" borderId="0" xfId="1" applyFont="1" applyBorder="1" applyAlignment="1">
      <alignment horizontal="center"/>
    </xf>
    <xf numFmtId="43" fontId="2" fillId="0" borderId="0" xfId="1" applyFont="1" applyBorder="1"/>
    <xf numFmtId="2" fontId="2" fillId="0" borderId="0" xfId="0" applyNumberFormat="1" applyFont="1" applyBorder="1" applyAlignment="1">
      <alignment vertical="center"/>
    </xf>
    <xf numFmtId="0" fontId="2" fillId="0" borderId="0" xfId="1" applyNumberFormat="1" applyFont="1" applyBorder="1" applyAlignment="1"/>
    <xf numFmtId="2" fontId="2" fillId="0" borderId="0" xfId="0" quotePrefix="1" applyNumberFormat="1" applyFont="1" applyBorder="1" applyAlignment="1">
      <alignment vertical="center"/>
    </xf>
    <xf numFmtId="43" fontId="2" fillId="0" borderId="0" xfId="1" applyFont="1" applyBorder="1" applyAlignment="1">
      <alignment vertical="center"/>
    </xf>
    <xf numFmtId="0" fontId="2" fillId="0" borderId="0" xfId="1" quotePrefix="1" applyNumberFormat="1" applyFont="1" applyBorder="1" applyAlignment="1">
      <alignment vertical="center"/>
    </xf>
    <xf numFmtId="0" fontId="6" fillId="0" borderId="0" xfId="0" applyFont="1" applyBorder="1" applyAlignment="1">
      <alignment horizontal="left" vertical="top"/>
    </xf>
    <xf numFmtId="2" fontId="6" fillId="0" borderId="1" xfId="0" applyNumberFormat="1" applyFont="1" applyBorder="1" applyAlignment="1">
      <alignment horizontal="center"/>
    </xf>
    <xf numFmtId="0" fontId="6" fillId="0" borderId="1" xfId="0" quotePrefix="1" applyFont="1" applyBorder="1" applyAlignment="1">
      <alignment horizontal="center"/>
    </xf>
    <xf numFmtId="2"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0" xfId="0" quotePrefix="1" applyFont="1" applyAlignment="1">
      <alignment horizontal="center"/>
    </xf>
    <xf numFmtId="2" fontId="6" fillId="0" borderId="0" xfId="0" quotePrefix="1" applyNumberFormat="1" applyFont="1" applyAlignment="1">
      <alignment horizontal="right"/>
    </xf>
    <xf numFmtId="2" fontId="6" fillId="0" borderId="0" xfId="0" quotePrefix="1" applyNumberFormat="1" applyFont="1" applyAlignment="1"/>
    <xf numFmtId="0" fontId="6" fillId="0" borderId="0" xfId="0" quotePrefix="1" applyFont="1"/>
    <xf numFmtId="0" fontId="6" fillId="0" borderId="1" xfId="0" quotePrefix="1" applyFont="1" applyBorder="1"/>
    <xf numFmtId="0" fontId="11" fillId="0" borderId="0" xfId="0" applyFont="1"/>
    <xf numFmtId="0" fontId="12" fillId="0" borderId="0" xfId="0" applyFont="1" applyAlignment="1">
      <alignment horizontal="center" vertical="center"/>
    </xf>
    <xf numFmtId="0" fontId="1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xf numFmtId="2" fontId="17" fillId="0" borderId="0" xfId="0" applyNumberFormat="1" applyFont="1" applyBorder="1" applyAlignment="1">
      <alignment horizontal="center"/>
    </xf>
    <xf numFmtId="0" fontId="17" fillId="0" borderId="0" xfId="0" applyFont="1" applyBorder="1"/>
    <xf numFmtId="2" fontId="17" fillId="0" borderId="0" xfId="0" applyNumberFormat="1" applyFont="1" applyAlignment="1">
      <alignment horizontal="right"/>
    </xf>
    <xf numFmtId="0" fontId="17" fillId="0" borderId="0" xfId="0" applyFont="1" applyAlignment="1">
      <alignment horizontal="right"/>
    </xf>
    <xf numFmtId="2" fontId="17" fillId="0" borderId="0" xfId="0" applyNumberFormat="1" applyFont="1"/>
    <xf numFmtId="0" fontId="11" fillId="0" borderId="0" xfId="0" applyFont="1" applyBorder="1"/>
    <xf numFmtId="0" fontId="17" fillId="0" borderId="0" xfId="0" applyFont="1" applyBorder="1" applyAlignment="1">
      <alignment horizontal="center"/>
    </xf>
    <xf numFmtId="0" fontId="17" fillId="0" borderId="0" xfId="0" applyFont="1" applyBorder="1" applyAlignment="1">
      <alignment horizontal="right"/>
    </xf>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left" vertical="center"/>
    </xf>
    <xf numFmtId="0" fontId="11" fillId="0" borderId="0" xfId="0" applyFont="1" applyFill="1" applyBorder="1" applyAlignment="1">
      <alignment horizontal="right"/>
    </xf>
    <xf numFmtId="0" fontId="11" fillId="0" borderId="0" xfId="0" applyFont="1" applyFill="1" applyBorder="1" applyAlignment="1">
      <alignment horizontal="center"/>
    </xf>
    <xf numFmtId="0" fontId="11" fillId="0" borderId="0" xfId="0" applyFont="1" applyFill="1" applyBorder="1" applyAlignment="1">
      <alignment horizontal="left"/>
    </xf>
    <xf numFmtId="0" fontId="11" fillId="0" borderId="0" xfId="0" applyFont="1" applyFill="1" applyAlignment="1">
      <alignment horizontal="center"/>
    </xf>
    <xf numFmtId="0" fontId="16" fillId="0" borderId="0" xfId="0" applyFont="1"/>
    <xf numFmtId="0" fontId="17" fillId="0" borderId="0" xfId="0" quotePrefix="1" applyFont="1" applyFill="1" applyBorder="1"/>
    <xf numFmtId="0" fontId="16" fillId="0" borderId="0" xfId="0" applyFont="1" applyBorder="1" applyAlignment="1">
      <alignment horizontal="center"/>
    </xf>
    <xf numFmtId="0" fontId="19" fillId="0" borderId="0" xfId="0" applyFont="1" applyAlignment="1">
      <alignment horizontal="justify" vertical="top" wrapText="1"/>
    </xf>
    <xf numFmtId="0" fontId="20" fillId="0" borderId="0" xfId="0" applyFont="1"/>
    <xf numFmtId="0" fontId="20" fillId="0" borderId="0" xfId="0" applyFont="1" applyAlignment="1">
      <alignment horizontal="center"/>
    </xf>
    <xf numFmtId="0" fontId="20" fillId="0" borderId="0" xfId="0" quotePrefix="1" applyFont="1" applyAlignment="1">
      <alignment horizontal="center"/>
    </xf>
    <xf numFmtId="0" fontId="21" fillId="0" borderId="0" xfId="0" applyFont="1"/>
    <xf numFmtId="2" fontId="20" fillId="0" borderId="0" xfId="0" applyNumberFormat="1" applyFont="1" applyAlignment="1">
      <alignment horizontal="center"/>
    </xf>
    <xf numFmtId="2" fontId="20" fillId="0" borderId="0" xfId="0" applyNumberFormat="1" applyFont="1" applyBorder="1" applyAlignment="1">
      <alignment horizontal="center"/>
    </xf>
    <xf numFmtId="0" fontId="20" fillId="0" borderId="1" xfId="0" quotePrefix="1" applyFont="1" applyBorder="1" applyAlignment="1">
      <alignment horizontal="center"/>
    </xf>
    <xf numFmtId="2" fontId="20" fillId="0" borderId="1" xfId="0" applyNumberFormat="1" applyFont="1" applyBorder="1"/>
    <xf numFmtId="0" fontId="20" fillId="0" borderId="0" xfId="0" quotePrefix="1" applyFont="1" applyBorder="1" applyAlignment="1">
      <alignment horizontal="center"/>
    </xf>
    <xf numFmtId="2" fontId="20" fillId="0" borderId="0" xfId="0" applyNumberFormat="1" applyFont="1" applyBorder="1" applyAlignment="1"/>
    <xf numFmtId="0" fontId="20" fillId="0" borderId="0" xfId="0" applyFont="1" applyBorder="1"/>
    <xf numFmtId="2" fontId="20" fillId="0" borderId="0" xfId="0" quotePrefix="1" applyNumberFormat="1" applyFont="1" applyAlignment="1">
      <alignment horizontal="right"/>
    </xf>
    <xf numFmtId="2" fontId="20" fillId="0" borderId="0" xfId="0" applyNumberFormat="1" applyFont="1" applyAlignment="1">
      <alignment horizontal="right"/>
    </xf>
    <xf numFmtId="2" fontId="20" fillId="0" borderId="0" xfId="0" applyNumberFormat="1" applyFont="1" applyAlignment="1">
      <alignment horizontal="right"/>
    </xf>
    <xf numFmtId="0" fontId="20" fillId="0" borderId="0" xfId="0" quotePrefix="1" applyFont="1" applyAlignment="1">
      <alignment horizontal="left"/>
    </xf>
    <xf numFmtId="0" fontId="20" fillId="0" borderId="0" xfId="0" applyFont="1" applyAlignment="1">
      <alignment horizontal="right"/>
    </xf>
    <xf numFmtId="0" fontId="13" fillId="0" borderId="0" xfId="0" applyFont="1" applyAlignment="1">
      <alignment horizontal="center" vertical="center"/>
    </xf>
    <xf numFmtId="2" fontId="20" fillId="0" borderId="0" xfId="0" applyNumberFormat="1" applyFont="1"/>
    <xf numFmtId="0" fontId="21" fillId="0" borderId="0" xfId="0" applyFont="1" applyBorder="1"/>
    <xf numFmtId="0" fontId="20" fillId="0" borderId="0" xfId="0" applyFont="1" applyBorder="1" applyAlignment="1">
      <alignment horizontal="center"/>
    </xf>
    <xf numFmtId="0" fontId="13" fillId="0" borderId="0" xfId="0" applyFont="1" applyBorder="1"/>
    <xf numFmtId="1" fontId="20" fillId="0" borderId="0" xfId="0" applyNumberFormat="1" applyFont="1" applyAlignment="1">
      <alignment horizontal="center"/>
    </xf>
    <xf numFmtId="2" fontId="21" fillId="0" borderId="0" xfId="0" applyNumberFormat="1" applyFont="1" applyBorder="1" applyAlignment="1">
      <alignment horizontal="right"/>
    </xf>
    <xf numFmtId="0" fontId="20" fillId="0" borderId="0" xfId="0" applyFont="1" applyBorder="1" applyAlignment="1">
      <alignment horizontal="right"/>
    </xf>
    <xf numFmtId="0" fontId="20" fillId="0" borderId="0" xfId="0" applyFont="1" applyAlignment="1">
      <alignment horizontal="justify" vertical="top" wrapText="1"/>
    </xf>
    <xf numFmtId="0" fontId="13" fillId="0" borderId="0" xfId="0" quotePrefix="1" applyFont="1" applyAlignment="1">
      <alignment horizontal="center"/>
    </xf>
    <xf numFmtId="0" fontId="13" fillId="0" borderId="0" xfId="0" applyFont="1" applyAlignment="1">
      <alignment horizontal="right"/>
    </xf>
    <xf numFmtId="0" fontId="20" fillId="0" borderId="0" xfId="0" applyFont="1" applyAlignment="1">
      <alignment vertical="top" wrapText="1"/>
    </xf>
    <xf numFmtId="0" fontId="13" fillId="0" borderId="0" xfId="0" applyFont="1" applyAlignment="1"/>
    <xf numFmtId="0" fontId="20" fillId="0" borderId="0" xfId="0" applyFont="1" applyAlignment="1"/>
    <xf numFmtId="0" fontId="20" fillId="0" borderId="0" xfId="0" quotePrefix="1" applyFont="1" applyAlignment="1"/>
    <xf numFmtId="2" fontId="20" fillId="0" borderId="0" xfId="0" applyNumberFormat="1" applyFont="1" applyBorder="1"/>
    <xf numFmtId="2" fontId="20" fillId="0" borderId="2" xfId="0" applyNumberFormat="1" applyFont="1" applyBorder="1"/>
    <xf numFmtId="0" fontId="20" fillId="0" borderId="2" xfId="0" applyFont="1" applyBorder="1"/>
    <xf numFmtId="0" fontId="20" fillId="0" borderId="0" xfId="0" quotePrefix="1" applyFont="1" applyAlignment="1">
      <alignment horizontal="left"/>
    </xf>
    <xf numFmtId="0" fontId="20" fillId="0" borderId="0" xfId="0" applyFont="1" applyAlignment="1">
      <alignment horizontal="left"/>
    </xf>
    <xf numFmtId="0" fontId="21" fillId="0" borderId="0" xfId="0" applyFont="1" applyFill="1" applyBorder="1" applyAlignment="1">
      <alignment horizontal="left" vertical="center"/>
    </xf>
    <xf numFmtId="0" fontId="20" fillId="2" borderId="0" xfId="0" applyFont="1" applyFill="1"/>
    <xf numFmtId="0" fontId="20" fillId="2" borderId="0" xfId="0" applyFont="1" applyFill="1" applyAlignment="1">
      <alignment horizontal="center"/>
    </xf>
    <xf numFmtId="1" fontId="20" fillId="2" borderId="0" xfId="0" applyNumberFormat="1" applyFont="1" applyFill="1" applyAlignment="1">
      <alignment horizontal="center"/>
    </xf>
    <xf numFmtId="2" fontId="20" fillId="2" borderId="0" xfId="0" applyNumberFormat="1" applyFont="1" applyFill="1" applyAlignment="1">
      <alignment horizontal="center"/>
    </xf>
    <xf numFmtId="0" fontId="20" fillId="2" borderId="0" xfId="0" quotePrefix="1" applyFont="1" applyFill="1" applyBorder="1" applyAlignment="1">
      <alignment horizontal="center"/>
    </xf>
    <xf numFmtId="2" fontId="20" fillId="2" borderId="0" xfId="0" applyNumberFormat="1" applyFont="1" applyFill="1" applyBorder="1"/>
    <xf numFmtId="0" fontId="20" fillId="0" borderId="2" xfId="0" applyFont="1" applyBorder="1" applyAlignment="1">
      <alignment vertical="center"/>
    </xf>
    <xf numFmtId="1" fontId="20" fillId="0" borderId="2" xfId="0" applyNumberFormat="1" applyFont="1" applyBorder="1" applyAlignment="1">
      <alignment horizontal="center"/>
    </xf>
    <xf numFmtId="0" fontId="20" fillId="0" borderId="2" xfId="0" applyFont="1" applyBorder="1" applyAlignment="1">
      <alignment horizontal="center"/>
    </xf>
    <xf numFmtId="0" fontId="20" fillId="0" borderId="2" xfId="0" quotePrefix="1" applyFont="1" applyBorder="1" applyAlignment="1">
      <alignment horizontal="center"/>
    </xf>
    <xf numFmtId="0" fontId="21" fillId="0" borderId="0" xfId="0" applyFont="1" applyFill="1" applyBorder="1" applyAlignment="1">
      <alignment horizontal="center"/>
    </xf>
    <xf numFmtId="0" fontId="20" fillId="0" borderId="0" xfId="0" applyFont="1" applyBorder="1" applyAlignment="1">
      <alignment vertical="center"/>
    </xf>
    <xf numFmtId="1" fontId="20" fillId="0" borderId="0" xfId="0" applyNumberFormat="1" applyFont="1" applyBorder="1" applyAlignment="1">
      <alignment horizontal="center"/>
    </xf>
    <xf numFmtId="0" fontId="20" fillId="0" borderId="1" xfId="0" applyFont="1" applyBorder="1" applyAlignment="1">
      <alignment horizontal="center"/>
    </xf>
    <xf numFmtId="2" fontId="21" fillId="0" borderId="0" xfId="0" applyNumberFormat="1" applyFont="1" applyAlignment="1">
      <alignment horizontal="center"/>
    </xf>
    <xf numFmtId="0" fontId="21" fillId="0" borderId="0" xfId="0" applyFont="1" applyAlignment="1">
      <alignment horizontal="center"/>
    </xf>
    <xf numFmtId="2" fontId="21" fillId="0" borderId="2" xfId="0" applyNumberFormat="1" applyFont="1" applyBorder="1" applyAlignment="1">
      <alignment horizontal="right"/>
    </xf>
    <xf numFmtId="1" fontId="21" fillId="0" borderId="0" xfId="0" applyNumberFormat="1" applyFont="1" applyAlignment="1">
      <alignment horizontal="center"/>
    </xf>
    <xf numFmtId="2" fontId="20" fillId="0" borderId="0" xfId="0" applyNumberFormat="1" applyFont="1" applyBorder="1" applyAlignment="1">
      <alignment horizontal="right"/>
    </xf>
    <xf numFmtId="0" fontId="20" fillId="0" borderId="0" xfId="0" quotePrefix="1" applyFont="1" applyFill="1" applyBorder="1"/>
    <xf numFmtId="2" fontId="20" fillId="0" borderId="0" xfId="0" quotePrefix="1" applyNumberFormat="1" applyFont="1" applyBorder="1" applyAlignment="1">
      <alignment horizontal="right"/>
    </xf>
    <xf numFmtId="0" fontId="20" fillId="0" borderId="0" xfId="0" quotePrefix="1" applyFont="1" applyBorder="1" applyAlignment="1"/>
    <xf numFmtId="0" fontId="20" fillId="0" borderId="0" xfId="0" applyFont="1" applyBorder="1" applyAlignment="1">
      <alignment vertical="top" wrapText="1"/>
    </xf>
    <xf numFmtId="2" fontId="20" fillId="0" borderId="0" xfId="0" applyNumberFormat="1" applyFont="1" applyBorder="1" applyAlignment="1">
      <alignment horizontal="left"/>
    </xf>
    <xf numFmtId="0" fontId="20" fillId="0" borderId="0" xfId="0" applyFont="1" applyBorder="1" applyAlignment="1"/>
    <xf numFmtId="0" fontId="21"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vertical="top" wrapText="1"/>
    </xf>
    <xf numFmtId="0" fontId="20" fillId="0" borderId="1" xfId="0" applyFont="1" applyBorder="1" applyAlignment="1">
      <alignment horizontal="right"/>
    </xf>
    <xf numFmtId="2" fontId="27" fillId="0" borderId="2" xfId="0" applyNumberFormat="1" applyFont="1" applyBorder="1"/>
    <xf numFmtId="2" fontId="27" fillId="0" borderId="0" xfId="0" applyNumberFormat="1" applyFont="1" applyBorder="1"/>
    <xf numFmtId="0" fontId="26" fillId="0" borderId="0" xfId="0" applyFont="1"/>
    <xf numFmtId="0" fontId="27" fillId="0" borderId="0" xfId="0" quotePrefix="1" applyFont="1" applyAlignment="1">
      <alignment horizontal="center"/>
    </xf>
    <xf numFmtId="0" fontId="27" fillId="0" borderId="0" xfId="0" applyFont="1" applyAlignment="1">
      <alignment horizontal="right"/>
    </xf>
    <xf numFmtId="2" fontId="26" fillId="0" borderId="0" xfId="0" applyNumberFormat="1" applyFont="1" applyAlignment="1">
      <alignment horizontal="center"/>
    </xf>
    <xf numFmtId="0" fontId="27" fillId="0" borderId="0" xfId="0" quotePrefix="1" applyFont="1" applyBorder="1" applyAlignment="1">
      <alignment horizontal="center"/>
    </xf>
    <xf numFmtId="0" fontId="27" fillId="0" borderId="0" xfId="0" applyFont="1" applyBorder="1" applyAlignment="1">
      <alignment horizontal="right"/>
    </xf>
    <xf numFmtId="2" fontId="28" fillId="0" borderId="0" xfId="0" applyNumberFormat="1" applyFont="1" applyAlignment="1">
      <alignment horizontal="center"/>
    </xf>
    <xf numFmtId="0" fontId="27" fillId="0" borderId="0" xfId="0" applyFont="1" applyBorder="1" applyAlignment="1">
      <alignment horizontal="right" vertical="top" wrapText="1"/>
    </xf>
    <xf numFmtId="0" fontId="20" fillId="0" borderId="0" xfId="0" quotePrefix="1" applyFont="1" applyAlignment="1">
      <alignment horizontal="center" vertical="center" wrapText="1"/>
    </xf>
    <xf numFmtId="0" fontId="20" fillId="0" borderId="0" xfId="0" quotePrefix="1" applyFont="1" applyAlignment="1">
      <alignment horizontal="center" vertical="center"/>
    </xf>
    <xf numFmtId="0" fontId="20" fillId="0" borderId="0" xfId="0" quotePrefix="1" applyFont="1" applyBorder="1" applyAlignment="1">
      <alignment horizontal="center" vertical="center"/>
    </xf>
    <xf numFmtId="0" fontId="21" fillId="0" borderId="0" xfId="0" quotePrefix="1" applyFont="1" applyBorder="1" applyAlignment="1">
      <alignment horizontal="center" vertical="center" wrapText="1"/>
    </xf>
    <xf numFmtId="0" fontId="20" fillId="0" borderId="0" xfId="0" applyFont="1" applyBorder="1" applyAlignment="1">
      <alignment horizontal="center" vertical="center"/>
    </xf>
    <xf numFmtId="0" fontId="20" fillId="0" borderId="0" xfId="0" applyFont="1" applyAlignment="1">
      <alignment horizontal="center" vertical="center"/>
    </xf>
    <xf numFmtId="0" fontId="20" fillId="2" borderId="0" xfId="0" applyFont="1" applyFill="1" applyAlignment="1">
      <alignment horizontal="center" vertical="center"/>
    </xf>
    <xf numFmtId="0" fontId="21" fillId="0" borderId="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43" fontId="20" fillId="0" borderId="0" xfId="1" applyFont="1" applyAlignment="1">
      <alignment horizontal="center" vertical="center"/>
    </xf>
    <xf numFmtId="43" fontId="20" fillId="0" borderId="0" xfId="1" applyFont="1" applyBorder="1" applyAlignment="1">
      <alignment horizontal="center" vertical="center"/>
    </xf>
    <xf numFmtId="43" fontId="24" fillId="0" borderId="0" xfId="0" applyNumberFormat="1" applyFont="1" applyBorder="1" applyAlignment="1">
      <alignment horizontal="center" vertical="center"/>
    </xf>
    <xf numFmtId="0" fontId="20" fillId="2" borderId="0" xfId="0" applyFont="1" applyFill="1" applyBorder="1" applyAlignment="1">
      <alignment horizontal="center" vertical="center"/>
    </xf>
    <xf numFmtId="43" fontId="25" fillId="0" borderId="0" xfId="0" applyNumberFormat="1" applyFont="1" applyBorder="1" applyAlignment="1">
      <alignment horizontal="center" vertical="center"/>
    </xf>
    <xf numFmtId="43" fontId="27" fillId="0" borderId="0" xfId="1" applyFont="1" applyAlignment="1">
      <alignment horizontal="center" vertical="center"/>
    </xf>
    <xf numFmtId="43" fontId="13" fillId="0" borderId="0" xfId="1" applyFont="1" applyAlignment="1">
      <alignment horizontal="center" vertical="center"/>
    </xf>
    <xf numFmtId="43" fontId="20" fillId="0" borderId="1" xfId="1" applyFont="1" applyBorder="1" applyAlignment="1">
      <alignment horizontal="center" vertical="center"/>
    </xf>
    <xf numFmtId="43" fontId="27" fillId="0" borderId="0" xfId="1" applyFont="1" applyBorder="1" applyAlignment="1">
      <alignment horizontal="center" vertical="center"/>
    </xf>
    <xf numFmtId="43" fontId="17" fillId="0" borderId="0" xfId="1" applyFont="1" applyBorder="1" applyAlignment="1">
      <alignment horizontal="center" vertical="center"/>
    </xf>
    <xf numFmtId="0" fontId="20" fillId="0" borderId="1" xfId="0" applyFont="1" applyBorder="1" applyAlignment="1">
      <alignment horizontal="center" vertical="center"/>
    </xf>
    <xf numFmtId="0" fontId="13" fillId="0" borderId="0" xfId="0" applyFont="1" applyBorder="1" applyAlignment="1">
      <alignment horizontal="center" vertical="center"/>
    </xf>
    <xf numFmtId="0" fontId="20" fillId="0" borderId="2" xfId="0" applyFont="1" applyBorder="1" applyAlignment="1">
      <alignment horizontal="center" vertical="center"/>
    </xf>
    <xf numFmtId="0" fontId="27" fillId="0" borderId="0" xfId="0" applyFont="1" applyBorder="1" applyAlignment="1">
      <alignment horizontal="center" vertical="center"/>
    </xf>
    <xf numFmtId="43" fontId="13" fillId="0" borderId="2" xfId="1" applyFont="1" applyBorder="1" applyAlignment="1">
      <alignment horizontal="center" vertical="center"/>
    </xf>
    <xf numFmtId="0" fontId="21" fillId="0" borderId="1" xfId="0" applyFont="1" applyBorder="1" applyAlignment="1">
      <alignment horizontal="center" vertical="center"/>
    </xf>
    <xf numFmtId="0" fontId="20"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17" fillId="0" borderId="0" xfId="0" applyFont="1" applyBorder="1" applyAlignment="1">
      <alignment horizontal="center" vertical="center"/>
    </xf>
    <xf numFmtId="2" fontId="27" fillId="0" borderId="0" xfId="0" applyNumberFormat="1" applyFont="1" applyBorder="1" applyAlignment="1">
      <alignment horizontal="center" vertical="center"/>
    </xf>
    <xf numFmtId="2" fontId="13" fillId="0" borderId="0" xfId="0" applyNumberFormat="1" applyFont="1" applyBorder="1" applyAlignment="1">
      <alignment horizontal="center" vertical="center"/>
    </xf>
    <xf numFmtId="0" fontId="20" fillId="0" borderId="0" xfId="0" applyFont="1" applyAlignment="1">
      <alignment horizontal="left"/>
    </xf>
    <xf numFmtId="0" fontId="20" fillId="0" borderId="0" xfId="0" quotePrefix="1" applyFont="1" applyAlignment="1">
      <alignment horizontal="left"/>
    </xf>
    <xf numFmtId="0" fontId="26" fillId="0" borderId="0" xfId="0" applyFont="1" applyFill="1" applyBorder="1" applyAlignment="1">
      <alignment horizontal="center" vertical="center" wrapText="1"/>
    </xf>
    <xf numFmtId="2" fontId="20" fillId="0" borderId="0" xfId="0" applyNumberFormat="1" applyFont="1" applyAlignment="1">
      <alignment horizontal="right"/>
    </xf>
    <xf numFmtId="0" fontId="20" fillId="0" borderId="0" xfId="0" applyFont="1" applyBorder="1" applyAlignment="1">
      <alignment horizontal="center"/>
    </xf>
    <xf numFmtId="0" fontId="20" fillId="0" borderId="0" xfId="0" applyFont="1" applyBorder="1" applyAlignment="1">
      <alignment horizontal="center" vertical="center"/>
    </xf>
    <xf numFmtId="0" fontId="20" fillId="0" borderId="0" xfId="0" applyFont="1" applyAlignment="1">
      <alignment horizontal="center"/>
    </xf>
    <xf numFmtId="2" fontId="28" fillId="0" borderId="0" xfId="0" applyNumberFormat="1" applyFont="1" applyAlignment="1">
      <alignment horizontal="right"/>
    </xf>
    <xf numFmtId="0" fontId="28" fillId="0" borderId="0" xfId="0" applyFont="1" applyAlignment="1">
      <alignment horizontal="center" wrapText="1"/>
    </xf>
    <xf numFmtId="0" fontId="20" fillId="0" borderId="0" xfId="0" applyFont="1" applyAlignment="1">
      <alignment horizontal="center" vertical="center" wrapText="1"/>
    </xf>
    <xf numFmtId="0" fontId="13" fillId="0" borderId="0" xfId="0" applyFont="1" applyAlignment="1">
      <alignment horizontal="center" vertical="top" wrapText="1"/>
    </xf>
    <xf numFmtId="0" fontId="20" fillId="0" borderId="0" xfId="0" applyFont="1" applyAlignment="1">
      <alignment horizontal="left" vertical="center" wrapText="1"/>
    </xf>
    <xf numFmtId="0" fontId="11" fillId="0" borderId="0" xfId="0" applyFont="1" applyFill="1" applyBorder="1" applyAlignment="1">
      <alignment horizontal="center"/>
    </xf>
    <xf numFmtId="0" fontId="20" fillId="0" borderId="0" xfId="0" applyFont="1" applyAlignment="1">
      <alignment vertical="top" wrapText="1"/>
    </xf>
    <xf numFmtId="0" fontId="20" fillId="0" borderId="0" xfId="0" applyFont="1" applyAlignment="1">
      <alignment horizontal="center" vertical="center" wrapText="1"/>
    </xf>
    <xf numFmtId="0" fontId="20" fillId="0" borderId="0" xfId="0" applyFont="1" applyBorder="1" applyAlignment="1">
      <alignment horizontal="center"/>
    </xf>
    <xf numFmtId="0" fontId="20" fillId="0" borderId="0" xfId="0" applyFont="1" applyAlignment="1">
      <alignment horizontal="left"/>
    </xf>
    <xf numFmtId="0" fontId="20" fillId="0" borderId="0" xfId="0" quotePrefix="1" applyFont="1" applyAlignment="1">
      <alignment horizontal="left"/>
    </xf>
    <xf numFmtId="2" fontId="20" fillId="0" borderId="0" xfId="0" applyNumberFormat="1" applyFont="1" applyAlignment="1">
      <alignment horizontal="right"/>
    </xf>
    <xf numFmtId="0" fontId="20" fillId="0" borderId="0" xfId="0" applyFont="1" applyAlignment="1">
      <alignment horizontal="justify" vertical="top" wrapText="1"/>
    </xf>
    <xf numFmtId="0" fontId="26" fillId="0" borderId="0" xfId="0" applyFont="1" applyFill="1" applyBorder="1" applyAlignment="1">
      <alignment horizontal="center" vertical="center" wrapText="1"/>
    </xf>
    <xf numFmtId="0" fontId="11" fillId="0" borderId="0" xfId="0" applyFont="1" applyFill="1" applyBorder="1" applyAlignment="1">
      <alignment horizontal="center"/>
    </xf>
    <xf numFmtId="0" fontId="13" fillId="0" borderId="0" xfId="0" applyFont="1" applyAlignment="1">
      <alignment horizontal="center" vertical="top" wrapText="1"/>
    </xf>
    <xf numFmtId="0" fontId="27" fillId="0" borderId="0" xfId="0" applyFont="1" applyBorder="1" applyAlignment="1">
      <alignment horizontal="right" vertical="top" wrapText="1"/>
    </xf>
    <xf numFmtId="0" fontId="20" fillId="0" borderId="0" xfId="0" applyFont="1" applyAlignment="1">
      <alignment horizontal="center"/>
    </xf>
    <xf numFmtId="0" fontId="20" fillId="0" borderId="0" xfId="0" applyFont="1" applyAlignment="1">
      <alignment horizontal="left" vertical="center" wrapText="1"/>
    </xf>
    <xf numFmtId="0" fontId="20" fillId="0" borderId="2" xfId="0" applyFont="1" applyBorder="1" applyAlignment="1">
      <alignment horizontal="center"/>
    </xf>
    <xf numFmtId="2" fontId="28" fillId="0" borderId="0" xfId="0" applyNumberFormat="1" applyFont="1" applyAlignment="1">
      <alignment horizontal="right"/>
    </xf>
    <xf numFmtId="0" fontId="28" fillId="0" borderId="0" xfId="0" applyFont="1" applyAlignment="1">
      <alignment horizontal="center" wrapText="1"/>
    </xf>
    <xf numFmtId="0" fontId="31" fillId="0" borderId="0" xfId="0" applyFont="1" applyAlignment="1">
      <alignment vertical="center" wrapText="1"/>
    </xf>
    <xf numFmtId="0" fontId="14" fillId="0" borderId="3" xfId="0" applyFont="1" applyFill="1" applyBorder="1" applyAlignment="1">
      <alignment horizontal="center" vertical="center"/>
    </xf>
    <xf numFmtId="0" fontId="33" fillId="0" borderId="0" xfId="0" applyFont="1" applyFill="1" applyBorder="1" applyAlignment="1">
      <alignment vertical="center"/>
    </xf>
    <xf numFmtId="43" fontId="33" fillId="0" borderId="0" xfId="1" applyNumberFormat="1" applyFont="1" applyFill="1" applyBorder="1" applyAlignment="1">
      <alignment vertical="center"/>
    </xf>
    <xf numFmtId="0" fontId="33" fillId="0" borderId="0" xfId="0" applyFont="1" applyFill="1" applyBorder="1"/>
    <xf numFmtId="0" fontId="21" fillId="0" borderId="3" xfId="0" applyFont="1" applyFill="1" applyBorder="1" applyAlignment="1">
      <alignment vertical="center"/>
    </xf>
    <xf numFmtId="43" fontId="13" fillId="0" borderId="3" xfId="1" applyNumberFormat="1" applyFont="1" applyFill="1" applyBorder="1" applyAlignment="1">
      <alignment vertical="center"/>
    </xf>
    <xf numFmtId="0" fontId="21" fillId="0" borderId="3" xfId="0" applyFont="1" applyFill="1" applyBorder="1" applyAlignment="1">
      <alignment horizontal="right" vertical="center"/>
    </xf>
    <xf numFmtId="43" fontId="13" fillId="0" borderId="0" xfId="1" applyNumberFormat="1" applyFont="1" applyFill="1" applyBorder="1" applyAlignment="1">
      <alignment vertical="center"/>
    </xf>
    <xf numFmtId="43" fontId="13" fillId="0" borderId="4" xfId="1" applyNumberFormat="1" applyFont="1" applyFill="1" applyBorder="1" applyAlignment="1">
      <alignmen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0" xfId="0" applyFont="1" applyFill="1" applyBorder="1"/>
    <xf numFmtId="0" fontId="21" fillId="0" borderId="11" xfId="0" applyFont="1" applyFill="1" applyBorder="1"/>
    <xf numFmtId="0" fontId="21" fillId="0" borderId="13" xfId="0" applyFont="1" applyFill="1" applyBorder="1"/>
    <xf numFmtId="0" fontId="21" fillId="0" borderId="9" xfId="0" applyFont="1" applyFill="1" applyBorder="1"/>
    <xf numFmtId="0" fontId="11" fillId="0" borderId="8" xfId="0" applyFont="1" applyFill="1" applyBorder="1" applyAlignment="1">
      <alignment horizontal="center" vertical="center"/>
    </xf>
    <xf numFmtId="0" fontId="11" fillId="0" borderId="9" xfId="0" applyFont="1" applyFill="1" applyBorder="1"/>
    <xf numFmtId="0" fontId="14" fillId="0" borderId="1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xf>
    <xf numFmtId="0" fontId="21" fillId="0" borderId="3" xfId="0" applyFont="1" applyFill="1" applyBorder="1" applyAlignment="1">
      <alignment vertical="center" wrapText="1"/>
    </xf>
    <xf numFmtId="0" fontId="20" fillId="0" borderId="0" xfId="0" applyFont="1" applyAlignment="1">
      <alignment horizontal="left"/>
    </xf>
    <xf numFmtId="0" fontId="20" fillId="0" borderId="0" xfId="0" quotePrefix="1" applyFont="1" applyAlignment="1">
      <alignment horizontal="left"/>
    </xf>
    <xf numFmtId="0" fontId="20" fillId="0" borderId="0" xfId="0" applyFont="1" applyAlignment="1">
      <alignment horizontal="center"/>
    </xf>
    <xf numFmtId="0" fontId="20" fillId="0" borderId="0" xfId="0" applyFont="1" applyBorder="1" applyAlignment="1">
      <alignment horizontal="center"/>
    </xf>
    <xf numFmtId="2" fontId="20" fillId="0" borderId="0" xfId="0" applyNumberFormat="1" applyFont="1" applyAlignment="1">
      <alignment horizontal="right"/>
    </xf>
    <xf numFmtId="0" fontId="27" fillId="0" borderId="0" xfId="0" applyFont="1" applyBorder="1" applyAlignment="1">
      <alignment horizontal="right" vertical="top" wrapText="1"/>
    </xf>
    <xf numFmtId="0" fontId="20" fillId="0" borderId="0" xfId="0" applyFont="1" applyAlignment="1">
      <alignment horizontal="justify" vertical="top" wrapText="1"/>
    </xf>
    <xf numFmtId="0" fontId="20" fillId="0" borderId="0" xfId="0" applyFont="1" applyAlignment="1">
      <alignment horizontal="center" vertical="center" wrapText="1"/>
    </xf>
    <xf numFmtId="0" fontId="28" fillId="0" borderId="0" xfId="0" applyFont="1" applyAlignment="1">
      <alignment horizontal="center" wrapText="1"/>
    </xf>
    <xf numFmtId="0" fontId="11" fillId="0" borderId="0" xfId="0" applyFont="1" applyFill="1" applyBorder="1" applyAlignment="1">
      <alignment horizontal="center"/>
    </xf>
    <xf numFmtId="0" fontId="26" fillId="0" borderId="0" xfId="0" applyFont="1" applyFill="1" applyBorder="1" applyAlignment="1">
      <alignment vertical="center"/>
    </xf>
    <xf numFmtId="0" fontId="20" fillId="2" borderId="0" xfId="0" applyFont="1" applyFill="1" applyBorder="1" applyAlignment="1">
      <alignment horizontal="center"/>
    </xf>
    <xf numFmtId="1" fontId="20" fillId="2" borderId="0" xfId="0" applyNumberFormat="1" applyFont="1" applyFill="1" applyBorder="1" applyAlignment="1">
      <alignment horizontal="center"/>
    </xf>
    <xf numFmtId="2" fontId="20" fillId="2" borderId="0" xfId="0" applyNumberFormat="1" applyFont="1" applyFill="1" applyBorder="1" applyAlignment="1">
      <alignment horizontal="center"/>
    </xf>
    <xf numFmtId="0" fontId="20" fillId="2" borderId="0" xfId="0" applyFont="1" applyFill="1" applyBorder="1"/>
    <xf numFmtId="2" fontId="28" fillId="0" borderId="2" xfId="0" applyNumberFormat="1" applyFont="1" applyBorder="1"/>
    <xf numFmtId="43" fontId="20" fillId="0" borderId="0" xfId="1" applyFont="1" applyAlignment="1">
      <alignment horizontal="left"/>
    </xf>
    <xf numFmtId="1" fontId="20" fillId="0" borderId="0" xfId="0" applyNumberFormat="1" applyFont="1" applyAlignment="1">
      <alignment horizontal="center" vertical="center"/>
    </xf>
    <xf numFmtId="2" fontId="20" fillId="0" borderId="0" xfId="0" applyNumberFormat="1" applyFont="1" applyAlignment="1">
      <alignment horizontal="center" vertical="center"/>
    </xf>
    <xf numFmtId="2" fontId="20" fillId="0" borderId="0" xfId="0" applyNumberFormat="1" applyFont="1" applyAlignment="1">
      <alignment vertical="center"/>
    </xf>
    <xf numFmtId="0" fontId="21" fillId="0" borderId="2" xfId="0" applyFont="1" applyBorder="1" applyAlignment="1">
      <alignment horizontal="center" vertical="center"/>
    </xf>
    <xf numFmtId="0" fontId="11" fillId="0" borderId="0" xfId="0" applyFont="1" applyAlignment="1"/>
    <xf numFmtId="0" fontId="11" fillId="0" borderId="0" xfId="0" applyFont="1" applyFill="1" applyBorder="1" applyAlignment="1"/>
    <xf numFmtId="2" fontId="20" fillId="0" borderId="0" xfId="0" applyNumberFormat="1" applyFont="1" applyAlignment="1">
      <alignment horizontal="right"/>
    </xf>
    <xf numFmtId="2" fontId="28" fillId="0" borderId="0" xfId="0" applyNumberFormat="1" applyFont="1" applyAlignment="1">
      <alignment horizontal="right"/>
    </xf>
    <xf numFmtId="0" fontId="20" fillId="0" borderId="0" xfId="0" quotePrefix="1" applyFont="1" applyAlignment="1">
      <alignment horizontal="left"/>
    </xf>
    <xf numFmtId="2" fontId="20" fillId="0" borderId="0" xfId="0" applyNumberFormat="1" applyFont="1" applyAlignment="1">
      <alignment horizontal="right" vertical="center"/>
    </xf>
    <xf numFmtId="2" fontId="20" fillId="0" borderId="0" xfId="0" applyNumberFormat="1" applyFont="1" applyBorder="1" applyAlignment="1">
      <alignment vertical="center"/>
    </xf>
    <xf numFmtId="0" fontId="20" fillId="0" borderId="0" xfId="0" applyFont="1" applyAlignment="1">
      <alignment vertical="center"/>
    </xf>
    <xf numFmtId="0" fontId="11" fillId="0" borderId="0" xfId="0" applyFont="1" applyAlignment="1">
      <alignment vertical="center"/>
    </xf>
    <xf numFmtId="0" fontId="11" fillId="0" borderId="0" xfId="0" applyFont="1" applyFill="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2" fontId="27" fillId="0" borderId="0" xfId="0" applyNumberFormat="1" applyFont="1" applyBorder="1" applyAlignment="1">
      <alignment horizontal="center" wrapText="1"/>
    </xf>
    <xf numFmtId="43" fontId="13" fillId="0" borderId="0" xfId="1" applyFont="1" applyBorder="1" applyAlignment="1">
      <alignment horizontal="center" vertical="center"/>
    </xf>
    <xf numFmtId="0" fontId="20" fillId="0" borderId="15" xfId="0" applyFont="1" applyBorder="1"/>
    <xf numFmtId="0" fontId="21" fillId="0" borderId="15" xfId="0" applyFont="1" applyBorder="1"/>
    <xf numFmtId="2" fontId="20" fillId="0" borderId="15" xfId="0" quotePrefix="1" applyNumberFormat="1" applyFont="1" applyBorder="1" applyAlignment="1">
      <alignment horizontal="right"/>
    </xf>
    <xf numFmtId="2" fontId="20" fillId="0" borderId="15" xfId="0" applyNumberFormat="1" applyFont="1" applyBorder="1" applyAlignment="1">
      <alignment horizontal="right"/>
    </xf>
    <xf numFmtId="0" fontId="20" fillId="0" borderId="15" xfId="0" applyFont="1" applyBorder="1" applyAlignment="1">
      <alignment horizontal="left"/>
    </xf>
    <xf numFmtId="0" fontId="20" fillId="0" borderId="15" xfId="0" quotePrefix="1" applyFont="1" applyBorder="1" applyAlignment="1">
      <alignment horizontal="left"/>
    </xf>
    <xf numFmtId="0" fontId="20" fillId="0" borderId="15" xfId="0" quotePrefix="1" applyFont="1" applyBorder="1" applyAlignment="1">
      <alignment horizontal="center"/>
    </xf>
    <xf numFmtId="43" fontId="20" fillId="0" borderId="15" xfId="1" applyFont="1" applyBorder="1" applyAlignment="1">
      <alignment horizontal="center" vertical="center"/>
    </xf>
    <xf numFmtId="0" fontId="13" fillId="0" borderId="0" xfId="0" applyFont="1" applyAlignment="1">
      <alignment vertical="center" wrapText="1"/>
    </xf>
    <xf numFmtId="0" fontId="13" fillId="0" borderId="0" xfId="0" quotePrefix="1" applyFont="1" applyAlignment="1">
      <alignment horizontal="center" vertical="center" wrapText="1"/>
    </xf>
    <xf numFmtId="0" fontId="24" fillId="0" borderId="0" xfId="0" applyFont="1" applyAlignment="1">
      <alignment horizontal="center" vertical="center"/>
    </xf>
    <xf numFmtId="0" fontId="13" fillId="2" borderId="0" xfId="0" applyFont="1" applyFill="1" applyBorder="1" applyAlignment="1">
      <alignment horizontal="center" vertical="center"/>
    </xf>
    <xf numFmtId="0" fontId="13" fillId="0" borderId="0" xfId="0" quotePrefix="1" applyFont="1" applyAlignment="1">
      <alignment horizontal="center" vertical="center"/>
    </xf>
    <xf numFmtId="0" fontId="13" fillId="0" borderId="0" xfId="0" quotePrefix="1" applyFont="1" applyBorder="1" applyAlignment="1">
      <alignment horizontal="center" vertical="center"/>
    </xf>
    <xf numFmtId="0" fontId="24" fillId="0" borderId="0" xfId="0" quotePrefix="1" applyFont="1" applyBorder="1" applyAlignment="1">
      <alignment horizontal="center" vertical="center" wrapText="1"/>
    </xf>
    <xf numFmtId="0" fontId="14" fillId="0" borderId="0" xfId="0" applyFont="1" applyAlignment="1">
      <alignment horizontal="center" vertical="center"/>
    </xf>
    <xf numFmtId="0" fontId="27" fillId="0" borderId="0" xfId="0" applyFont="1" applyBorder="1" applyAlignment="1">
      <alignment horizontal="center"/>
    </xf>
    <xf numFmtId="43" fontId="27" fillId="0" borderId="0" xfId="1" applyFont="1" applyAlignment="1">
      <alignment horizontal="center"/>
    </xf>
    <xf numFmtId="2" fontId="20" fillId="0" borderId="0" xfId="0" quotePrefix="1" applyNumberFormat="1" applyFont="1" applyAlignment="1">
      <alignment horizontal="right" vertical="center"/>
    </xf>
    <xf numFmtId="0" fontId="20" fillId="0" borderId="0" xfId="0" quotePrefix="1" applyFont="1" applyAlignment="1">
      <alignment horizontal="left" vertical="center"/>
    </xf>
    <xf numFmtId="0" fontId="20" fillId="0" borderId="0" xfId="0" applyFont="1" applyAlignment="1">
      <alignment horizontal="right" vertical="center"/>
    </xf>
    <xf numFmtId="0" fontId="1" fillId="0" borderId="0" xfId="0" applyFont="1" applyAlignment="1">
      <alignment horizontal="justify" vertical="top" wrapText="1"/>
    </xf>
    <xf numFmtId="0" fontId="35" fillId="0" borderId="0" xfId="0" applyFont="1" applyAlignment="1">
      <alignment horizontal="justify" vertical="top" wrapText="1"/>
    </xf>
    <xf numFmtId="0" fontId="20" fillId="0" borderId="0" xfId="0" applyFont="1" applyBorder="1" applyAlignment="1">
      <alignment horizontal="center"/>
    </xf>
    <xf numFmtId="0" fontId="28" fillId="0" borderId="0" xfId="0" applyFont="1" applyAlignment="1">
      <alignment horizontal="center" vertical="center" wrapText="1"/>
    </xf>
    <xf numFmtId="0" fontId="20" fillId="0" borderId="0" xfId="0" quotePrefix="1" applyFont="1" applyAlignment="1">
      <alignment horizontal="left"/>
    </xf>
    <xf numFmtId="2" fontId="20" fillId="0" borderId="0" xfId="0" applyNumberFormat="1" applyFont="1" applyAlignment="1">
      <alignment horizontal="right"/>
    </xf>
    <xf numFmtId="0" fontId="27" fillId="0" borderId="0" xfId="0" applyFont="1" applyBorder="1" applyAlignment="1">
      <alignment horizontal="right" vertical="top" wrapText="1"/>
    </xf>
    <xf numFmtId="0" fontId="20" fillId="0" borderId="0" xfId="0" applyFont="1" applyAlignment="1">
      <alignment horizontal="justify" vertical="top" wrapText="1"/>
    </xf>
    <xf numFmtId="0" fontId="20" fillId="0" borderId="0" xfId="0" applyFont="1" applyBorder="1" applyAlignment="1">
      <alignment horizontal="center"/>
    </xf>
    <xf numFmtId="2" fontId="20" fillId="0" borderId="0" xfId="0" applyNumberFormat="1" applyFont="1" applyAlignment="1">
      <alignment horizontal="right" vertical="center"/>
    </xf>
    <xf numFmtId="0" fontId="27" fillId="0" borderId="0" xfId="0" applyFont="1" applyBorder="1" applyAlignment="1">
      <alignment horizontal="right" vertical="top" wrapText="1"/>
    </xf>
    <xf numFmtId="2" fontId="20" fillId="0" borderId="0" xfId="0" applyNumberFormat="1" applyFont="1" applyAlignment="1">
      <alignment horizontal="right"/>
    </xf>
    <xf numFmtId="2" fontId="28" fillId="0" borderId="0" xfId="0" applyNumberFormat="1" applyFont="1" applyAlignment="1">
      <alignment horizontal="right"/>
    </xf>
    <xf numFmtId="0" fontId="20" fillId="0" borderId="0" xfId="0" applyFont="1" applyBorder="1" applyAlignment="1">
      <alignment horizontal="center" vertical="center" wrapText="1"/>
    </xf>
    <xf numFmtId="0" fontId="20" fillId="0" borderId="0" xfId="0" applyFont="1" applyAlignment="1">
      <alignment horizontal="center" vertical="center" wrapText="1"/>
    </xf>
    <xf numFmtId="0" fontId="26" fillId="0" borderId="0" xfId="0" applyFont="1" applyFill="1" applyBorder="1" applyAlignment="1">
      <alignment horizontal="center" vertical="center" wrapText="1"/>
    </xf>
    <xf numFmtId="0" fontId="13" fillId="0" borderId="0" xfId="0" applyFont="1" applyAlignment="1">
      <alignment horizontal="center" vertical="center" wrapText="1"/>
    </xf>
    <xf numFmtId="0" fontId="21" fillId="0" borderId="0" xfId="0" applyFont="1" applyFill="1" applyBorder="1" applyAlignment="1">
      <alignment horizontal="center" vertical="center" wrapText="1"/>
    </xf>
    <xf numFmtId="0" fontId="20" fillId="0" borderId="0" xfId="0" applyFont="1" applyAlignment="1">
      <alignment horizontal="center"/>
    </xf>
    <xf numFmtId="0" fontId="28" fillId="0" borderId="0" xfId="0" applyFont="1" applyBorder="1" applyAlignment="1">
      <alignment horizontal="center"/>
    </xf>
    <xf numFmtId="0" fontId="20" fillId="0" borderId="0" xfId="0" applyFont="1" applyAlignment="1">
      <alignment horizontal="left"/>
    </xf>
    <xf numFmtId="0" fontId="28" fillId="0" borderId="0" xfId="0" applyFont="1" applyAlignment="1">
      <alignment horizontal="center" vertical="center" wrapText="1"/>
    </xf>
    <xf numFmtId="0" fontId="20" fillId="0" borderId="0" xfId="0" quotePrefix="1" applyFont="1" applyAlignment="1">
      <alignment horizontal="left"/>
    </xf>
    <xf numFmtId="0" fontId="11" fillId="0" borderId="0" xfId="0" applyFont="1" applyFill="1" applyBorder="1" applyAlignment="1">
      <alignment horizontal="center"/>
    </xf>
    <xf numFmtId="0" fontId="20" fillId="0" borderId="0" xfId="0" applyFont="1" applyAlignment="1">
      <alignment horizontal="left" vertical="center" wrapText="1"/>
    </xf>
    <xf numFmtId="0" fontId="13" fillId="0" borderId="0" xfId="0" applyFont="1" applyAlignment="1">
      <alignment horizontal="center" vertical="top" wrapText="1"/>
    </xf>
    <xf numFmtId="0" fontId="28" fillId="0" borderId="0" xfId="0" applyFont="1" applyAlignment="1">
      <alignment horizontal="center" wrapText="1"/>
    </xf>
    <xf numFmtId="0" fontId="13" fillId="0" borderId="0" xfId="0" applyFont="1" applyAlignment="1">
      <alignment horizontal="center"/>
    </xf>
    <xf numFmtId="0" fontId="20" fillId="0" borderId="0" xfId="0" applyFont="1" applyBorder="1" applyAlignment="1">
      <alignment wrapText="1"/>
    </xf>
    <xf numFmtId="165" fontId="28" fillId="0" borderId="0" xfId="0" applyNumberFormat="1" applyFont="1" applyAlignment="1">
      <alignment horizontal="center"/>
    </xf>
    <xf numFmtId="1" fontId="28" fillId="0" borderId="0" xfId="0" applyNumberFormat="1" applyFont="1" applyAlignment="1">
      <alignment horizontal="center"/>
    </xf>
    <xf numFmtId="0" fontId="1" fillId="0" borderId="0" xfId="0" applyFont="1" applyAlignment="1">
      <alignment horizontal="justify"/>
    </xf>
    <xf numFmtId="0" fontId="20" fillId="0" borderId="0" xfId="0" applyFont="1" applyAlignment="1">
      <alignment wrapText="1"/>
    </xf>
    <xf numFmtId="2" fontId="20" fillId="0" borderId="0" xfId="0" applyNumberFormat="1" applyFont="1" applyAlignment="1">
      <alignment horizontal="right"/>
    </xf>
    <xf numFmtId="2" fontId="20" fillId="0" borderId="0" xfId="0" applyNumberFormat="1" applyFont="1" applyAlignment="1">
      <alignment horizontal="right" vertical="center"/>
    </xf>
    <xf numFmtId="0" fontId="11" fillId="0" borderId="0" xfId="0" applyFont="1" applyFill="1" applyBorder="1" applyAlignment="1">
      <alignment horizontal="center"/>
    </xf>
    <xf numFmtId="0" fontId="20" fillId="0" borderId="0" xfId="0" quotePrefix="1" applyFont="1" applyAlignment="1">
      <alignment horizontal="left"/>
    </xf>
    <xf numFmtId="0" fontId="26" fillId="0" borderId="0" xfId="0" applyFont="1" applyFill="1" applyBorder="1" applyAlignment="1">
      <alignment horizontal="center" vertical="center" wrapText="1"/>
    </xf>
    <xf numFmtId="0" fontId="20" fillId="0" borderId="0" xfId="0" applyFont="1" applyAlignment="1">
      <alignment horizontal="center"/>
    </xf>
    <xf numFmtId="2" fontId="20" fillId="0" borderId="0" xfId="0" applyNumberFormat="1" applyFont="1" applyAlignment="1">
      <alignment horizontal="right"/>
    </xf>
    <xf numFmtId="0" fontId="20" fillId="0" borderId="0" xfId="0" applyFont="1" applyBorder="1" applyAlignment="1">
      <alignment horizontal="center"/>
    </xf>
    <xf numFmtId="0" fontId="20"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xf>
    <xf numFmtId="0" fontId="20" fillId="0" borderId="0" xfId="0" quotePrefix="1" applyFont="1" applyAlignment="1">
      <alignment horizontal="left"/>
    </xf>
    <xf numFmtId="0" fontId="21" fillId="0" borderId="0" xfId="0" applyFont="1" applyFill="1" applyBorder="1" applyAlignment="1">
      <alignment horizontal="center" vertical="center" wrapText="1"/>
    </xf>
    <xf numFmtId="0" fontId="11" fillId="0" borderId="0" xfId="0" applyFont="1" applyFill="1" applyBorder="1" applyAlignment="1">
      <alignment horizontal="center"/>
    </xf>
    <xf numFmtId="43" fontId="13" fillId="0" borderId="3" xfId="1" applyFont="1" applyFill="1" applyBorder="1" applyAlignment="1">
      <alignment vertical="center"/>
    </xf>
    <xf numFmtId="0" fontId="11" fillId="0" borderId="0" xfId="0" applyFont="1" applyFill="1" applyBorder="1" applyAlignment="1">
      <alignment horizontal="center"/>
    </xf>
    <xf numFmtId="0" fontId="27" fillId="0" borderId="0" xfId="0" applyFont="1" applyAlignment="1">
      <alignment horizontal="center" vertical="center"/>
    </xf>
    <xf numFmtId="0" fontId="20" fillId="0" borderId="0" xfId="0" applyFont="1" applyAlignment="1">
      <alignment horizontal="left"/>
    </xf>
    <xf numFmtId="0" fontId="20" fillId="0" borderId="0" xfId="0" quotePrefix="1" applyFont="1" applyAlignment="1">
      <alignment horizontal="left"/>
    </xf>
    <xf numFmtId="0" fontId="20" fillId="0" borderId="0" xfId="0" applyFont="1" applyBorder="1" applyAlignment="1">
      <alignment horizontal="center"/>
    </xf>
    <xf numFmtId="2" fontId="20" fillId="0" borderId="0" xfId="0" applyNumberFormat="1" applyFont="1" applyAlignment="1">
      <alignment horizontal="right"/>
    </xf>
    <xf numFmtId="0" fontId="20" fillId="0" borderId="2" xfId="0" applyFont="1" applyBorder="1" applyAlignment="1">
      <alignment horizontal="center"/>
    </xf>
    <xf numFmtId="0" fontId="20" fillId="0" borderId="0" xfId="0" applyFont="1" applyAlignment="1">
      <alignment horizontal="justify" vertical="top" wrapText="1"/>
    </xf>
    <xf numFmtId="0" fontId="20" fillId="0" borderId="0" xfId="0" applyFont="1" applyAlignment="1">
      <alignment horizontal="center"/>
    </xf>
    <xf numFmtId="0" fontId="20" fillId="0" borderId="0" xfId="0" applyFont="1" applyBorder="1" applyAlignment="1">
      <alignment horizontal="center" vertical="center" wrapText="1"/>
    </xf>
    <xf numFmtId="0" fontId="36" fillId="0" borderId="0" xfId="0" applyFont="1"/>
    <xf numFmtId="0" fontId="17" fillId="0" borderId="0" xfId="0" quotePrefix="1" applyFont="1" applyAlignment="1">
      <alignment horizontal="center"/>
    </xf>
    <xf numFmtId="2" fontId="17" fillId="0" borderId="0" xfId="0" applyNumberFormat="1" applyFont="1" applyAlignment="1">
      <alignment horizontal="center"/>
    </xf>
    <xf numFmtId="0" fontId="17" fillId="0" borderId="0" xfId="0" quotePrefix="1" applyFont="1" applyBorder="1" applyAlignment="1">
      <alignment horizontal="center"/>
    </xf>
    <xf numFmtId="0" fontId="17" fillId="0" borderId="1" xfId="0" quotePrefix="1" applyFont="1" applyBorder="1" applyAlignment="1">
      <alignment horizontal="center"/>
    </xf>
    <xf numFmtId="2" fontId="17" fillId="0" borderId="0" xfId="0" quotePrefix="1" applyNumberFormat="1" applyFont="1" applyAlignment="1">
      <alignment horizontal="right"/>
    </xf>
    <xf numFmtId="0" fontId="17" fillId="0" borderId="0" xfId="0" quotePrefix="1" applyFont="1" applyAlignment="1">
      <alignment horizontal="left"/>
    </xf>
    <xf numFmtId="1" fontId="17" fillId="0" borderId="0" xfId="0" applyNumberFormat="1" applyFont="1" applyAlignment="1">
      <alignment horizontal="center"/>
    </xf>
    <xf numFmtId="0" fontId="17" fillId="0" borderId="0" xfId="0" applyFont="1" applyAlignment="1">
      <alignment horizontal="center"/>
    </xf>
    <xf numFmtId="0" fontId="38" fillId="0" borderId="0" xfId="0" applyFont="1" applyFill="1" applyBorder="1" applyAlignment="1">
      <alignment horizontal="left" vertical="center"/>
    </xf>
    <xf numFmtId="0" fontId="0" fillId="0" borderId="0" xfId="0" applyFill="1" applyAlignment="1">
      <alignment horizontal="center"/>
    </xf>
    <xf numFmtId="0" fontId="0" fillId="0" borderId="0" xfId="0" applyFill="1"/>
    <xf numFmtId="0" fontId="0" fillId="0" borderId="0" xfId="0" applyFill="1" applyBorder="1" applyAlignment="1">
      <alignment horizontal="center"/>
    </xf>
    <xf numFmtId="0" fontId="39"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left" vertical="center"/>
    </xf>
    <xf numFmtId="0" fontId="13" fillId="0" borderId="0" xfId="0" applyFont="1" applyAlignment="1">
      <alignment horizontal="left"/>
    </xf>
    <xf numFmtId="164" fontId="20" fillId="0" borderId="0" xfId="1" applyNumberFormat="1" applyFont="1" applyAlignment="1">
      <alignment horizontal="left"/>
    </xf>
    <xf numFmtId="2" fontId="17" fillId="0" borderId="0" xfId="0" applyNumberFormat="1" applyFont="1" applyAlignment="1">
      <alignment horizontal="right"/>
    </xf>
    <xf numFmtId="0" fontId="17" fillId="0" borderId="0" xfId="0" applyFont="1" applyAlignment="1">
      <alignment horizontal="center"/>
    </xf>
    <xf numFmtId="0" fontId="40" fillId="0" borderId="0" xfId="0" applyFont="1" applyAlignment="1"/>
    <xf numFmtId="0" fontId="36" fillId="0" borderId="0" xfId="0" applyFont="1" applyAlignment="1">
      <alignment horizontal="center"/>
    </xf>
    <xf numFmtId="1" fontId="36" fillId="0" borderId="0" xfId="0" applyNumberFormat="1" applyFont="1" applyAlignment="1">
      <alignment horizontal="center"/>
    </xf>
    <xf numFmtId="2" fontId="36" fillId="0" borderId="0" xfId="0" applyNumberFormat="1" applyFont="1" applyAlignment="1">
      <alignment horizontal="center"/>
    </xf>
    <xf numFmtId="0" fontId="36" fillId="0" borderId="0" xfId="0" quotePrefix="1" applyFont="1" applyBorder="1" applyAlignment="1">
      <alignment horizontal="center"/>
    </xf>
    <xf numFmtId="2" fontId="36" fillId="0" borderId="0" xfId="0" applyNumberFormat="1" applyFont="1"/>
    <xf numFmtId="0" fontId="36" fillId="0" borderId="0" xfId="0" applyFont="1" applyBorder="1"/>
    <xf numFmtId="0" fontId="17" fillId="0" borderId="0" xfId="0" applyFont="1" applyAlignment="1"/>
    <xf numFmtId="2" fontId="17" fillId="0" borderId="1" xfId="0" applyNumberFormat="1" applyFont="1" applyBorder="1" applyAlignment="1">
      <alignment horizontal="center"/>
    </xf>
    <xf numFmtId="1" fontId="26" fillId="0" borderId="0" xfId="0" applyNumberFormat="1" applyFont="1" applyAlignment="1">
      <alignment horizontal="center"/>
    </xf>
    <xf numFmtId="0" fontId="17" fillId="2" borderId="0" xfId="0" quotePrefix="1" applyFont="1" applyFill="1" applyBorder="1" applyAlignment="1">
      <alignment horizontal="center"/>
    </xf>
    <xf numFmtId="2" fontId="17" fillId="2" borderId="0" xfId="0" applyNumberFormat="1" applyFont="1" applyFill="1" applyBorder="1" applyAlignment="1">
      <alignment horizontal="right" vertical="center"/>
    </xf>
    <xf numFmtId="0" fontId="17" fillId="2" borderId="0" xfId="0" applyFont="1" applyFill="1" applyBorder="1" applyAlignment="1">
      <alignment horizontal="left" vertical="center"/>
    </xf>
    <xf numFmtId="0" fontId="27" fillId="0" borderId="0" xfId="0" applyFont="1" applyAlignment="1">
      <alignment horizontal="center" vertical="center" wrapText="1"/>
    </xf>
    <xf numFmtId="0" fontId="29" fillId="0" borderId="0" xfId="0" applyFont="1" applyAlignment="1">
      <alignment horizontal="center" vertical="center"/>
    </xf>
    <xf numFmtId="0" fontId="28" fillId="0" borderId="0" xfId="0" applyFont="1"/>
    <xf numFmtId="0" fontId="27" fillId="0" borderId="0" xfId="0" quotePrefix="1" applyFont="1" applyAlignment="1">
      <alignment horizontal="center" vertical="center" wrapText="1"/>
    </xf>
    <xf numFmtId="0" fontId="41" fillId="0" borderId="0" xfId="0" applyFont="1"/>
    <xf numFmtId="0" fontId="27" fillId="0" borderId="0" xfId="0" applyFont="1" applyAlignment="1">
      <alignment horizontal="center"/>
    </xf>
    <xf numFmtId="0" fontId="25" fillId="0" borderId="0" xfId="0" applyFont="1" applyAlignment="1">
      <alignment horizontal="center" vertical="center"/>
    </xf>
    <xf numFmtId="0" fontId="27" fillId="0" borderId="0" xfId="0" quotePrefix="1" applyFont="1" applyAlignment="1">
      <alignment horizontal="center" vertical="center"/>
    </xf>
    <xf numFmtId="0" fontId="27" fillId="0" borderId="0" xfId="0" quotePrefix="1" applyFont="1" applyBorder="1" applyAlignment="1">
      <alignment horizontal="center" vertical="center"/>
    </xf>
    <xf numFmtId="0" fontId="27" fillId="0" borderId="0" xfId="0" applyFont="1" applyAlignment="1">
      <alignment horizontal="center" vertical="center" wrapText="1"/>
    </xf>
    <xf numFmtId="0" fontId="25" fillId="0" borderId="0" xfId="0" quotePrefix="1" applyFont="1" applyBorder="1" applyAlignment="1">
      <alignment horizontal="center" vertical="center" wrapText="1"/>
    </xf>
    <xf numFmtId="0" fontId="35" fillId="0" borderId="0" xfId="0" applyFont="1"/>
    <xf numFmtId="165" fontId="27" fillId="0" borderId="2" xfId="0" applyNumberFormat="1" applyFont="1" applyBorder="1" applyAlignment="1">
      <alignment horizontal="center" wrapText="1"/>
    </xf>
    <xf numFmtId="165" fontId="27" fillId="0" borderId="0" xfId="0" applyNumberFormat="1" applyFont="1" applyBorder="1"/>
    <xf numFmtId="2" fontId="20" fillId="0" borderId="1" xfId="0" applyNumberFormat="1" applyFont="1" applyBorder="1" applyAlignment="1">
      <alignment horizontal="center" vertical="center"/>
    </xf>
    <xf numFmtId="2" fontId="20" fillId="0" borderId="0" xfId="0" applyNumberFormat="1" applyFont="1" applyAlignment="1">
      <alignment horizontal="right"/>
    </xf>
    <xf numFmtId="0" fontId="20" fillId="0" borderId="0" xfId="0" applyFont="1" applyAlignment="1">
      <alignment horizontal="center" vertical="top" wrapText="1"/>
    </xf>
    <xf numFmtId="0" fontId="20" fillId="0" borderId="0" xfId="0" applyFont="1" applyBorder="1" applyAlignment="1">
      <alignment horizontal="center"/>
    </xf>
    <xf numFmtId="0" fontId="20" fillId="0" borderId="0" xfId="0" applyFont="1" applyAlignment="1">
      <alignment horizontal="justify" vertical="top" wrapText="1"/>
    </xf>
    <xf numFmtId="0" fontId="28" fillId="0" borderId="0" xfId="0" applyFont="1" applyAlignment="1">
      <alignment horizontal="center" vertical="center" wrapText="1"/>
    </xf>
    <xf numFmtId="0" fontId="20" fillId="0" borderId="0" xfId="0" applyFont="1" applyBorder="1" applyAlignment="1">
      <alignment horizontal="center" vertical="center" wrapText="1"/>
    </xf>
    <xf numFmtId="2" fontId="28" fillId="0" borderId="0" xfId="0" applyNumberFormat="1" applyFont="1" applyAlignment="1">
      <alignment horizontal="right"/>
    </xf>
    <xf numFmtId="0" fontId="20"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xf>
    <xf numFmtId="0" fontId="28" fillId="0" borderId="0" xfId="0" applyFont="1" applyBorder="1" applyAlignment="1">
      <alignment horizontal="center"/>
    </xf>
    <xf numFmtId="0" fontId="20" fillId="0" borderId="0" xfId="0" quotePrefix="1" applyFont="1" applyAlignment="1">
      <alignment horizontal="left"/>
    </xf>
    <xf numFmtId="0" fontId="11" fillId="0" borderId="0" xfId="0" applyFont="1" applyFill="1" applyBorder="1" applyAlignment="1">
      <alignment horizontal="center"/>
    </xf>
    <xf numFmtId="0" fontId="27" fillId="0" borderId="0" xfId="0" applyFont="1" applyAlignment="1">
      <alignment horizontal="center" vertical="center"/>
    </xf>
    <xf numFmtId="2" fontId="17" fillId="0" borderId="0" xfId="0" applyNumberFormat="1" applyFont="1" applyAlignment="1">
      <alignment horizontal="right"/>
    </xf>
    <xf numFmtId="0" fontId="17" fillId="0" borderId="0" xfId="0" applyFont="1" applyAlignment="1">
      <alignment horizontal="center"/>
    </xf>
    <xf numFmtId="0" fontId="27" fillId="0" borderId="0" xfId="0" applyFont="1" applyAlignment="1">
      <alignment horizontal="center" vertical="center" wrapText="1"/>
    </xf>
    <xf numFmtId="2" fontId="17" fillId="2" borderId="0" xfId="0" applyNumberFormat="1" applyFont="1" applyFill="1" applyBorder="1" applyAlignment="1">
      <alignment horizontal="right" vertical="center"/>
    </xf>
    <xf numFmtId="0" fontId="17" fillId="2" borderId="0" xfId="0" applyFont="1" applyFill="1" applyBorder="1" applyAlignment="1">
      <alignment horizontal="left" vertical="center"/>
    </xf>
    <xf numFmtId="43" fontId="28" fillId="0" borderId="0" xfId="1" applyFont="1" applyBorder="1" applyAlignment="1">
      <alignment horizontal="center" vertical="center"/>
    </xf>
    <xf numFmtId="0" fontId="28" fillId="0" borderId="0" xfId="0" applyFont="1" applyAlignment="1">
      <alignment horizontal="center"/>
    </xf>
    <xf numFmtId="164" fontId="28" fillId="0" borderId="0" xfId="1" applyNumberFormat="1" applyFont="1" applyAlignment="1">
      <alignment horizontal="center"/>
    </xf>
    <xf numFmtId="0" fontId="26" fillId="0" borderId="0" xfId="0" applyFont="1" applyBorder="1" applyAlignment="1">
      <alignment horizontal="center"/>
    </xf>
    <xf numFmtId="164" fontId="28" fillId="0" borderId="0" xfId="1" applyNumberFormat="1" applyFont="1" applyBorder="1" applyAlignment="1">
      <alignment horizontal="center"/>
    </xf>
    <xf numFmtId="0" fontId="28" fillId="0" borderId="0" xfId="0" applyFont="1" applyAlignment="1">
      <alignment horizontal="center" vertical="center"/>
    </xf>
    <xf numFmtId="0" fontId="28" fillId="0" borderId="0" xfId="0" applyFont="1" applyBorder="1" applyAlignment="1">
      <alignment horizontal="center" vertical="center"/>
    </xf>
    <xf numFmtId="0" fontId="26" fillId="0" borderId="0" xfId="0" applyFont="1" applyAlignment="1">
      <alignment horizontal="center" vertical="center"/>
    </xf>
    <xf numFmtId="0" fontId="41" fillId="0" borderId="0" xfId="0" applyFont="1" applyBorder="1" applyAlignment="1">
      <alignment horizontal="center"/>
    </xf>
    <xf numFmtId="43" fontId="28" fillId="0" borderId="0" xfId="1" applyFont="1" applyAlignment="1">
      <alignment horizontal="center" vertical="center"/>
    </xf>
    <xf numFmtId="0" fontId="26" fillId="0" borderId="0" xfId="0" applyFont="1" applyBorder="1" applyAlignment="1">
      <alignment horizontal="center" vertical="center"/>
    </xf>
    <xf numFmtId="0" fontId="26" fillId="0" borderId="0" xfId="0" applyFont="1" applyAlignment="1"/>
    <xf numFmtId="43" fontId="28" fillId="0" borderId="1" xfId="1" applyFont="1" applyBorder="1" applyAlignment="1">
      <alignment horizontal="center" vertical="center"/>
    </xf>
    <xf numFmtId="2" fontId="20" fillId="0" borderId="1" xfId="0" applyNumberFormat="1" applyFont="1" applyBorder="1" applyAlignment="1">
      <alignment horizontal="center"/>
    </xf>
    <xf numFmtId="0" fontId="20" fillId="0" borderId="0" xfId="0" applyFont="1" applyAlignment="1">
      <alignment horizontal="right" vertical="top"/>
    </xf>
    <xf numFmtId="0" fontId="20" fillId="0" borderId="1" xfId="0" applyFont="1" applyBorder="1"/>
    <xf numFmtId="0" fontId="20" fillId="0" borderId="0" xfId="0" quotePrefix="1" applyFont="1" applyAlignment="1">
      <alignment horizontal="center" vertical="top" wrapText="1"/>
    </xf>
    <xf numFmtId="0" fontId="21" fillId="0" borderId="2" xfId="0" applyFont="1" applyBorder="1"/>
    <xf numFmtId="0" fontId="20" fillId="0" borderId="0" xfId="0" quotePrefix="1" applyFont="1" applyAlignment="1">
      <alignment horizontal="left" vertical="top" wrapText="1"/>
    </xf>
    <xf numFmtId="2" fontId="20" fillId="0" borderId="0" xfId="0" applyNumberFormat="1" applyFont="1" applyAlignment="1"/>
    <xf numFmtId="0" fontId="27" fillId="0" borderId="0" xfId="0" applyFont="1" applyAlignment="1">
      <alignment horizontal="center" vertical="center" wrapText="1"/>
    </xf>
    <xf numFmtId="0" fontId="2" fillId="0" borderId="0" xfId="0" applyFont="1" applyBorder="1" applyAlignment="1">
      <alignment horizontal="right"/>
    </xf>
    <xf numFmtId="2" fontId="0" fillId="0" borderId="0" xfId="0" applyNumberFormat="1" applyBorder="1" applyAlignment="1">
      <alignment horizontal="center"/>
    </xf>
    <xf numFmtId="0" fontId="0" fillId="0" borderId="0" xfId="0" applyBorder="1" applyAlignment="1">
      <alignment horizontal="center"/>
    </xf>
    <xf numFmtId="2" fontId="0" fillId="0" borderId="0" xfId="0" applyNumberFormat="1" applyBorder="1" applyAlignment="1">
      <alignment horizontal="right"/>
    </xf>
    <xf numFmtId="0" fontId="0" fillId="0" borderId="0" xfId="0"/>
    <xf numFmtId="0" fontId="0" fillId="0" borderId="0" xfId="0" applyBorder="1" applyAlignment="1">
      <alignment horizontal="left" vertical="top" wrapText="1"/>
    </xf>
    <xf numFmtId="0" fontId="0" fillId="0" borderId="0" xfId="0" quotePrefix="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2" fontId="0" fillId="0" borderId="0" xfId="0" applyNumberFormat="1" applyBorder="1" applyAlignment="1">
      <alignment vertical="center"/>
    </xf>
    <xf numFmtId="0" fontId="0" fillId="0" borderId="0" xfId="0" quotePrefix="1" applyBorder="1"/>
    <xf numFmtId="0" fontId="0" fillId="0" borderId="0" xfId="0" quotePrefix="1" applyBorder="1" applyAlignment="1">
      <alignment horizontal="right"/>
    </xf>
    <xf numFmtId="2" fontId="0" fillId="0" borderId="0" xfId="0" applyNumberFormat="1" applyBorder="1"/>
    <xf numFmtId="0" fontId="0" fillId="0" borderId="0" xfId="0" quotePrefix="1" applyFill="1" applyBorder="1"/>
    <xf numFmtId="0" fontId="0" fillId="0" borderId="0" xfId="0" applyBorder="1" applyAlignment="1">
      <alignment horizontal="right"/>
    </xf>
    <xf numFmtId="0" fontId="8" fillId="0" borderId="0" xfId="0" applyFont="1" applyBorder="1" applyAlignment="1">
      <alignment vertical="center"/>
    </xf>
    <xf numFmtId="0" fontId="42" fillId="0" borderId="0" xfId="0" applyFont="1" applyBorder="1" applyAlignment="1">
      <alignment vertical="center"/>
    </xf>
    <xf numFmtId="0" fontId="8" fillId="0" borderId="0" xfId="0" applyFont="1" applyBorder="1" applyAlignment="1">
      <alignment vertical="center" wrapText="1"/>
    </xf>
    <xf numFmtId="0" fontId="43" fillId="0" borderId="0" xfId="0" applyFont="1" applyBorder="1"/>
    <xf numFmtId="0" fontId="2" fillId="0" borderId="0" xfId="0" applyFont="1" applyBorder="1" applyAlignment="1"/>
    <xf numFmtId="2" fontId="0" fillId="0" borderId="0" xfId="0" applyNumberFormat="1" applyBorder="1" applyAlignment="1"/>
    <xf numFmtId="0" fontId="0" fillId="0" borderId="0" xfId="0" quotePrefix="1" applyBorder="1" applyAlignment="1"/>
    <xf numFmtId="164" fontId="0" fillId="0" borderId="0" xfId="1" applyNumberFormat="1" applyFont="1" applyBorder="1"/>
    <xf numFmtId="0" fontId="43" fillId="0" borderId="2" xfId="0" applyFont="1" applyBorder="1" applyAlignment="1">
      <alignment horizontal="center"/>
    </xf>
    <xf numFmtId="2" fontId="43" fillId="0" borderId="18" xfId="0" applyNumberFormat="1" applyFont="1" applyBorder="1" applyAlignment="1">
      <alignment horizontal="center"/>
    </xf>
    <xf numFmtId="2" fontId="43" fillId="0" borderId="19" xfId="0" applyNumberFormat="1" applyFont="1" applyBorder="1" applyAlignment="1">
      <alignment horizontal="center"/>
    </xf>
    <xf numFmtId="0" fontId="43" fillId="0" borderId="4" xfId="0" applyFont="1" applyBorder="1" applyAlignment="1">
      <alignment horizontal="center"/>
    </xf>
    <xf numFmtId="0" fontId="43" fillId="0" borderId="1" xfId="0" applyFont="1" applyBorder="1"/>
    <xf numFmtId="0" fontId="43" fillId="0" borderId="21" xfId="0" applyFont="1" applyBorder="1"/>
    <xf numFmtId="1" fontId="43" fillId="0" borderId="20" xfId="0" applyNumberFormat="1" applyFont="1" applyBorder="1" applyAlignment="1">
      <alignment horizontal="center"/>
    </xf>
    <xf numFmtId="0" fontId="43" fillId="0" borderId="22" xfId="0" applyFont="1" applyBorder="1" applyAlignment="1">
      <alignment horizontal="center"/>
    </xf>
    <xf numFmtId="0" fontId="43" fillId="0" borderId="19" xfId="0" applyFont="1" applyBorder="1" applyAlignment="1">
      <alignment horizontal="right" vertical="top"/>
    </xf>
    <xf numFmtId="0" fontId="43" fillId="0" borderId="4" xfId="0" applyFont="1" applyBorder="1" applyAlignment="1">
      <alignment vertical="top" wrapText="1"/>
    </xf>
    <xf numFmtId="0" fontId="43" fillId="0" borderId="22" xfId="0" applyFont="1" applyBorder="1" applyAlignment="1">
      <alignment vertical="top" wrapText="1"/>
    </xf>
    <xf numFmtId="0" fontId="43" fillId="0" borderId="19" xfId="0" applyFont="1" applyBorder="1" applyAlignment="1">
      <alignment vertical="top" wrapText="1"/>
    </xf>
    <xf numFmtId="2" fontId="43" fillId="0" borderId="19" xfId="0" applyNumberFormat="1" applyFont="1" applyBorder="1" applyAlignment="1">
      <alignment vertical="top" wrapText="1"/>
    </xf>
    <xf numFmtId="0" fontId="43" fillId="0" borderId="22" xfId="0" applyFont="1" applyBorder="1" applyAlignment="1">
      <alignment horizontal="right" vertical="top" wrapText="1"/>
    </xf>
    <xf numFmtId="0" fontId="45" fillId="0" borderId="0" xfId="0" applyFont="1" applyBorder="1" applyAlignment="1">
      <alignment vertical="top" wrapText="1"/>
    </xf>
    <xf numFmtId="0" fontId="1" fillId="0" borderId="0" xfId="0" applyFont="1" applyBorder="1" applyAlignment="1">
      <alignment horizontal="center"/>
    </xf>
    <xf numFmtId="0" fontId="1" fillId="0" borderId="0" xfId="0" quotePrefix="1" applyFont="1" applyBorder="1" applyAlignment="1">
      <alignment horizontal="center"/>
    </xf>
    <xf numFmtId="2" fontId="1" fillId="0" borderId="0" xfId="0" applyNumberFormat="1" applyFont="1" applyBorder="1" applyAlignment="1">
      <alignment horizontal="center"/>
    </xf>
    <xf numFmtId="0" fontId="1" fillId="0" borderId="0" xfId="0" quotePrefix="1" applyFont="1" applyBorder="1" applyAlignment="1">
      <alignment horizontal="right" vertical="top"/>
    </xf>
    <xf numFmtId="2" fontId="0" fillId="0" borderId="0" xfId="0" quotePrefix="1" applyNumberFormat="1" applyBorder="1" applyAlignment="1"/>
    <xf numFmtId="0" fontId="1" fillId="0" borderId="0" xfId="0" quotePrefix="1" applyFont="1" applyBorder="1" applyAlignment="1">
      <alignment horizontal="center" vertical="top"/>
    </xf>
    <xf numFmtId="0" fontId="1" fillId="0" borderId="0" xfId="0" applyFont="1" applyBorder="1" applyAlignment="1">
      <alignment vertical="top" wrapText="1"/>
    </xf>
    <xf numFmtId="0" fontId="2" fillId="0" borderId="0" xfId="0" quotePrefix="1" applyFont="1" applyBorder="1" applyAlignment="1"/>
    <xf numFmtId="164" fontId="2" fillId="0" borderId="0" xfId="0" applyNumberFormat="1" applyFont="1" applyBorder="1"/>
    <xf numFmtId="0" fontId="1" fillId="0" borderId="0" xfId="0" applyFont="1" applyBorder="1" applyAlignment="1">
      <alignment wrapText="1"/>
    </xf>
    <xf numFmtId="0" fontId="0" fillId="0" borderId="0" xfId="0" quotePrefix="1" applyBorder="1" applyAlignment="1">
      <alignment vertical="center"/>
    </xf>
    <xf numFmtId="0" fontId="1" fillId="0" borderId="0" xfId="0" applyFont="1" applyBorder="1" applyAlignment="1">
      <alignment vertical="center"/>
    </xf>
    <xf numFmtId="2" fontId="1" fillId="0" borderId="0" xfId="0" quotePrefix="1" applyNumberFormat="1" applyFont="1" applyBorder="1" applyAlignment="1">
      <alignment vertical="center"/>
    </xf>
    <xf numFmtId="0" fontId="46" fillId="0" borderId="0" xfId="0" applyFont="1" applyBorder="1" applyAlignment="1">
      <alignment horizontal="center" vertical="center"/>
    </xf>
    <xf numFmtId="2" fontId="1" fillId="0" borderId="0" xfId="0" applyNumberFormat="1" applyFont="1" applyBorder="1" applyAlignment="1">
      <alignment vertical="center"/>
    </xf>
    <xf numFmtId="0" fontId="0" fillId="0" borderId="0" xfId="0" quotePrefix="1" applyBorder="1" applyAlignment="1">
      <alignment horizontal="center" vertical="top"/>
    </xf>
    <xf numFmtId="2" fontId="1" fillId="0" borderId="0" xfId="0" applyNumberFormat="1" applyFont="1" applyBorder="1" applyAlignment="1">
      <alignment horizontal="center" vertical="center"/>
    </xf>
    <xf numFmtId="1" fontId="0" fillId="0" borderId="0" xfId="0" applyNumberFormat="1" applyBorder="1" applyAlignment="1">
      <alignment horizontal="center"/>
    </xf>
    <xf numFmtId="1" fontId="0" fillId="0" borderId="0" xfId="0" applyNumberFormat="1" applyBorder="1" applyAlignment="1">
      <alignment vertical="center"/>
    </xf>
    <xf numFmtId="0" fontId="1" fillId="0" borderId="0" xfId="0" quotePrefix="1" applyFont="1" applyBorder="1" applyAlignment="1"/>
    <xf numFmtId="0" fontId="1" fillId="0" borderId="0" xfId="0" quotePrefix="1" applyFont="1" applyBorder="1" applyAlignment="1">
      <alignment horizontal="left"/>
    </xf>
    <xf numFmtId="0" fontId="36" fillId="0" borderId="0" xfId="0" quotePrefix="1" applyFont="1" applyBorder="1" applyAlignment="1">
      <alignment horizontal="center" vertical="top" wrapText="1"/>
    </xf>
    <xf numFmtId="0" fontId="36" fillId="0" borderId="0" xfId="0" applyFont="1" applyBorder="1" applyAlignment="1">
      <alignment vertical="top" wrapText="1"/>
    </xf>
    <xf numFmtId="0" fontId="36" fillId="0" borderId="0" xfId="0" applyFont="1" applyBorder="1" applyAlignment="1">
      <alignment horizontal="center"/>
    </xf>
    <xf numFmtId="0" fontId="47" fillId="0" borderId="0" xfId="0" applyFont="1" applyBorder="1" applyAlignment="1">
      <alignment vertical="top" wrapText="1"/>
    </xf>
    <xf numFmtId="0" fontId="36" fillId="0" borderId="0" xfId="0" applyFont="1" applyBorder="1" applyAlignment="1">
      <alignment horizontal="right"/>
    </xf>
    <xf numFmtId="0" fontId="36" fillId="0" borderId="0" xfId="0" applyFont="1" applyBorder="1" applyAlignment="1"/>
    <xf numFmtId="1" fontId="36" fillId="0" borderId="0" xfId="0" applyNumberFormat="1" applyFont="1" applyBorder="1" applyAlignment="1">
      <alignment horizontal="center"/>
    </xf>
    <xf numFmtId="2" fontId="36" fillId="0" borderId="0" xfId="0" applyNumberFormat="1" applyFont="1" applyBorder="1" applyAlignment="1">
      <alignment horizontal="center"/>
    </xf>
    <xf numFmtId="2" fontId="36" fillId="0" borderId="0" xfId="0" applyNumberFormat="1" applyFont="1" applyBorder="1" applyAlignment="1"/>
    <xf numFmtId="0" fontId="36" fillId="0" borderId="0" xfId="0" quotePrefix="1" applyFont="1" applyBorder="1"/>
    <xf numFmtId="2" fontId="36" fillId="0" borderId="0" xfId="0" quotePrefix="1" applyNumberFormat="1" applyFont="1" applyBorder="1" applyAlignment="1"/>
    <xf numFmtId="2" fontId="36" fillId="0" borderId="0" xfId="0" applyNumberFormat="1" applyFont="1" applyBorder="1" applyAlignment="1">
      <alignment horizontal="right"/>
    </xf>
    <xf numFmtId="0" fontId="36" fillId="0" borderId="0" xfId="0" quotePrefix="1" applyFont="1" applyBorder="1" applyAlignment="1"/>
    <xf numFmtId="0" fontId="40" fillId="0" borderId="0" xfId="0" applyFont="1" applyBorder="1" applyAlignment="1"/>
    <xf numFmtId="164" fontId="40" fillId="0" borderId="0" xfId="1" applyNumberFormat="1" applyFont="1" applyBorder="1" applyAlignment="1"/>
    <xf numFmtId="164" fontId="36" fillId="0" borderId="0" xfId="1" applyNumberFormat="1" applyFont="1" applyBorder="1" applyAlignment="1"/>
    <xf numFmtId="2" fontId="36" fillId="0" borderId="0" xfId="0" quotePrefix="1" applyNumberFormat="1" applyFont="1" applyBorder="1" applyAlignment="1">
      <alignment horizontal="right"/>
    </xf>
    <xf numFmtId="0" fontId="36" fillId="0" borderId="0" xfId="0" applyFont="1" applyBorder="1" applyAlignment="1">
      <alignment horizontal="left"/>
    </xf>
    <xf numFmtId="0" fontId="36" fillId="0" borderId="0" xfId="0" quotePrefix="1" applyFont="1" applyBorder="1" applyAlignment="1">
      <alignment horizontal="left"/>
    </xf>
    <xf numFmtId="164" fontId="36" fillId="0" borderId="0" xfId="1" applyNumberFormat="1" applyFont="1" applyBorder="1" applyAlignment="1">
      <alignment horizontal="left"/>
    </xf>
    <xf numFmtId="2" fontId="40" fillId="0" borderId="0" xfId="0" applyNumberFormat="1" applyFont="1" applyBorder="1" applyAlignment="1">
      <alignment horizontal="right"/>
    </xf>
    <xf numFmtId="164" fontId="36" fillId="0" borderId="0" xfId="1" applyNumberFormat="1" applyFont="1" applyBorder="1" applyAlignment="1">
      <alignment horizontal="center"/>
    </xf>
    <xf numFmtId="0" fontId="2" fillId="0" borderId="0" xfId="0" quotePrefix="1" applyFont="1" applyBorder="1" applyAlignment="1">
      <alignment horizontal="right"/>
    </xf>
    <xf numFmtId="0" fontId="2" fillId="0" borderId="0" xfId="0" applyFont="1" applyBorder="1"/>
    <xf numFmtId="0" fontId="1" fillId="0" borderId="0" xfId="0" quotePrefix="1" applyFont="1" applyBorder="1"/>
    <xf numFmtId="9" fontId="0" fillId="0" borderId="0" xfId="0" applyNumberFormat="1" applyBorder="1" applyAlignment="1"/>
    <xf numFmtId="0" fontId="0" fillId="0" borderId="0" xfId="0" quotePrefix="1" applyNumberFormat="1" applyBorder="1" applyAlignment="1">
      <alignment horizontal="center"/>
    </xf>
    <xf numFmtId="2" fontId="1" fillId="0" borderId="0" xfId="0" applyNumberFormat="1" applyFont="1" applyBorder="1"/>
    <xf numFmtId="0" fontId="1" fillId="0" borderId="0" xfId="0" applyFont="1" applyBorder="1" applyAlignment="1"/>
    <xf numFmtId="167" fontId="0" fillId="0" borderId="0" xfId="0" quotePrefix="1" applyNumberFormat="1" applyBorder="1" applyAlignment="1"/>
    <xf numFmtId="2" fontId="1" fillId="0" borderId="0" xfId="0" applyNumberFormat="1" applyFont="1" applyBorder="1" applyAlignment="1"/>
    <xf numFmtId="164" fontId="1" fillId="0" borderId="0" xfId="1" applyNumberFormat="1" applyFont="1" applyBorder="1"/>
    <xf numFmtId="164" fontId="2" fillId="0" borderId="0" xfId="1" applyNumberFormat="1" applyFont="1" applyBorder="1"/>
    <xf numFmtId="9" fontId="0" fillId="0" borderId="0" xfId="0" applyNumberFormat="1" applyBorder="1"/>
    <xf numFmtId="164" fontId="0" fillId="0" borderId="0" xfId="0" applyNumberFormat="1" applyBorder="1"/>
    <xf numFmtId="0" fontId="48" fillId="0" borderId="0" xfId="0" applyFont="1" applyBorder="1"/>
    <xf numFmtId="0" fontId="2" fillId="0" borderId="0" xfId="0" applyFont="1" applyBorder="1" applyAlignment="1">
      <alignment vertical="center"/>
    </xf>
    <xf numFmtId="0" fontId="2" fillId="0" borderId="0" xfId="0" quotePrefix="1" applyFont="1" applyBorder="1" applyAlignment="1">
      <alignment vertical="center"/>
    </xf>
    <xf numFmtId="39" fontId="2" fillId="0" borderId="0" xfId="0" applyNumberFormat="1" applyFont="1" applyBorder="1" applyAlignment="1"/>
    <xf numFmtId="164" fontId="2" fillId="0" borderId="0" xfId="1" applyNumberFormat="1" applyFont="1" applyBorder="1" applyAlignment="1">
      <alignment vertical="center"/>
    </xf>
    <xf numFmtId="2" fontId="2" fillId="0" borderId="0" xfId="0" applyNumberFormat="1" applyFont="1" applyBorder="1" applyAlignment="1"/>
    <xf numFmtId="0" fontId="2" fillId="0" borderId="0" xfId="0" applyFont="1" applyBorder="1" applyAlignment="1">
      <alignment horizontal="right" vertical="center"/>
    </xf>
    <xf numFmtId="0" fontId="2" fillId="0" borderId="0" xfId="0" quotePrefix="1" applyFont="1" applyBorder="1" applyAlignment="1">
      <alignment horizontal="center" vertical="center"/>
    </xf>
    <xf numFmtId="2" fontId="2" fillId="0" borderId="0" xfId="0" applyNumberFormat="1" applyFont="1" applyBorder="1" applyAlignment="1">
      <alignment horizontal="center"/>
    </xf>
    <xf numFmtId="164" fontId="2" fillId="0" borderId="0" xfId="1" applyNumberFormat="1" applyFont="1" applyBorder="1" applyAlignment="1">
      <alignment horizontal="right" vertical="center"/>
    </xf>
    <xf numFmtId="0" fontId="45" fillId="0" borderId="0" xfId="0" applyFont="1" applyBorder="1" applyAlignment="1">
      <alignment vertical="center" wrapText="1"/>
    </xf>
    <xf numFmtId="0" fontId="0" fillId="0" borderId="0" xfId="0" quotePrefix="1" applyBorder="1" applyAlignment="1">
      <alignment horizontal="right" vertical="top"/>
    </xf>
    <xf numFmtId="0" fontId="1" fillId="0" borderId="0" xfId="0" quotePrefix="1" applyFont="1" applyBorder="1" applyAlignment="1">
      <alignment vertical="center"/>
    </xf>
    <xf numFmtId="9" fontId="0" fillId="0" borderId="0" xfId="0" applyNumberFormat="1" applyBorder="1" applyAlignment="1">
      <alignment horizontal="center"/>
    </xf>
    <xf numFmtId="0" fontId="0" fillId="0" borderId="0" xfId="0" quotePrefix="1" applyFill="1" applyBorder="1" applyAlignment="1"/>
    <xf numFmtId="0" fontId="3" fillId="0" borderId="0" xfId="0" quotePrefix="1" applyFon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3" fillId="0" borderId="0" xfId="0" applyFont="1" applyBorder="1" applyAlignment="1">
      <alignment vertical="center"/>
    </xf>
    <xf numFmtId="10" fontId="0" fillId="0" borderId="0" xfId="0" applyNumberFormat="1" applyBorder="1" applyAlignment="1"/>
    <xf numFmtId="0" fontId="48" fillId="0" borderId="0" xfId="0" applyFont="1"/>
    <xf numFmtId="0" fontId="43" fillId="0" borderId="0" xfId="0" applyFont="1"/>
    <xf numFmtId="0" fontId="43" fillId="0" borderId="23" xfId="0" applyFont="1" applyBorder="1" applyAlignment="1">
      <alignment horizontal="center"/>
    </xf>
    <xf numFmtId="0" fontId="43" fillId="0" borderId="24" xfId="0" applyFont="1" applyBorder="1" applyAlignment="1">
      <alignment horizontal="center"/>
    </xf>
    <xf numFmtId="0" fontId="43" fillId="0" borderId="17" xfId="0" applyFont="1" applyBorder="1" applyAlignment="1">
      <alignment horizontal="center"/>
    </xf>
    <xf numFmtId="9" fontId="43" fillId="0" borderId="18" xfId="0" applyNumberFormat="1" applyFont="1" applyBorder="1" applyAlignment="1">
      <alignment horizontal="left"/>
    </xf>
    <xf numFmtId="2" fontId="43" fillId="0" borderId="23" xfId="0" applyNumberFormat="1" applyFont="1" applyBorder="1" applyAlignment="1">
      <alignment horizontal="center"/>
    </xf>
    <xf numFmtId="0" fontId="43" fillId="0" borderId="23" xfId="0" applyFont="1" applyBorder="1"/>
    <xf numFmtId="0" fontId="43" fillId="0" borderId="20" xfId="0" applyFont="1" applyBorder="1" applyAlignment="1">
      <alignment horizontal="center"/>
    </xf>
    <xf numFmtId="9" fontId="43" fillId="0" borderId="21" xfId="0" applyNumberFormat="1" applyFont="1" applyBorder="1" applyAlignment="1">
      <alignment horizontal="left"/>
    </xf>
    <xf numFmtId="0" fontId="43" fillId="0" borderId="24" xfId="0" applyFont="1" applyBorder="1"/>
    <xf numFmtId="0" fontId="43" fillId="0" borderId="23" xfId="0" applyFont="1" applyBorder="1" applyAlignment="1">
      <alignment vertical="center"/>
    </xf>
    <xf numFmtId="0" fontId="43" fillId="0" borderId="24" xfId="0" applyFont="1" applyBorder="1" applyAlignment="1">
      <alignment vertical="center"/>
    </xf>
    <xf numFmtId="168" fontId="43" fillId="0" borderId="21" xfId="0" applyNumberFormat="1" applyFont="1" applyBorder="1" applyAlignment="1">
      <alignment horizontal="left"/>
    </xf>
    <xf numFmtId="2" fontId="43" fillId="0" borderId="24" xfId="0" applyNumberFormat="1" applyFont="1" applyBorder="1" applyAlignment="1">
      <alignment horizontal="center"/>
    </xf>
    <xf numFmtId="0" fontId="43" fillId="0" borderId="19" xfId="0" applyFont="1" applyBorder="1"/>
    <xf numFmtId="0" fontId="43" fillId="0" borderId="4" xfId="0" applyFont="1" applyBorder="1"/>
    <xf numFmtId="0" fontId="43" fillId="0" borderId="4" xfId="0" applyFont="1" applyBorder="1" applyAlignment="1"/>
    <xf numFmtId="2" fontId="43" fillId="0" borderId="3" xfId="0" applyNumberFormat="1" applyFont="1" applyBorder="1" applyAlignment="1">
      <alignment horizontal="center"/>
    </xf>
    <xf numFmtId="2" fontId="43" fillId="0" borderId="22" xfId="0" applyNumberFormat="1" applyFont="1" applyBorder="1" applyAlignment="1">
      <alignment horizontal="center"/>
    </xf>
    <xf numFmtId="0" fontId="43" fillId="0" borderId="0" xfId="0" applyFont="1" applyAlignment="1">
      <alignment horizontal="right"/>
    </xf>
    <xf numFmtId="0" fontId="43" fillId="0" borderId="0" xfId="0" quotePrefix="1" applyFont="1" applyAlignment="1">
      <alignment horizontal="right"/>
    </xf>
    <xf numFmtId="2" fontId="43" fillId="0" borderId="0" xfId="0" applyNumberFormat="1" applyFont="1"/>
    <xf numFmtId="0" fontId="43" fillId="0" borderId="0" xfId="0" quotePrefix="1" applyFont="1"/>
    <xf numFmtId="0" fontId="50" fillId="0" borderId="0" xfId="0" applyFont="1"/>
    <xf numFmtId="0" fontId="50" fillId="0" borderId="0" xfId="0" applyFont="1" applyAlignment="1">
      <alignment horizontal="right"/>
    </xf>
    <xf numFmtId="0" fontId="51" fillId="0" borderId="0" xfId="0" applyFont="1"/>
    <xf numFmtId="2" fontId="50" fillId="0" borderId="0" xfId="0" quotePrefix="1" applyNumberFormat="1" applyFont="1" applyAlignment="1">
      <alignment horizontal="right"/>
    </xf>
    <xf numFmtId="43" fontId="50" fillId="0" borderId="0" xfId="1" applyFont="1" applyAlignment="1">
      <alignment horizontal="center" vertical="center"/>
    </xf>
    <xf numFmtId="2" fontId="50" fillId="0" borderId="0" xfId="0" applyNumberFormat="1" applyFont="1" applyAlignment="1">
      <alignment horizontal="right"/>
    </xf>
    <xf numFmtId="0" fontId="21" fillId="0" borderId="0" xfId="0" quotePrefix="1" applyFont="1" applyAlignment="1">
      <alignment horizontal="left"/>
    </xf>
    <xf numFmtId="0" fontId="21" fillId="0" borderId="0" xfId="0" applyFont="1" applyFill="1" applyBorder="1" applyAlignment="1">
      <alignment horizontal="left" vertical="center" wrapText="1"/>
    </xf>
    <xf numFmtId="0" fontId="52" fillId="0" borderId="0" xfId="0" applyFont="1"/>
    <xf numFmtId="0" fontId="50" fillId="0" borderId="0" xfId="0" quotePrefix="1" applyFont="1" applyBorder="1" applyAlignment="1">
      <alignment horizontal="center"/>
    </xf>
    <xf numFmtId="0" fontId="50" fillId="0" borderId="0" xfId="0" applyFont="1" applyBorder="1" applyAlignment="1">
      <alignment horizontal="center" vertical="center"/>
    </xf>
    <xf numFmtId="0" fontId="50" fillId="0" borderId="0" xfId="0" quotePrefix="1" applyFont="1" applyAlignment="1">
      <alignment horizontal="center"/>
    </xf>
    <xf numFmtId="0" fontId="25" fillId="0" borderId="0" xfId="0" applyFont="1" applyAlignment="1">
      <alignment horizontal="center" vertical="center" wrapText="1"/>
    </xf>
    <xf numFmtId="1" fontId="21" fillId="0" borderId="0" xfId="0" applyNumberFormat="1" applyFont="1" applyAlignment="1">
      <alignment horizontal="center" vertical="center"/>
    </xf>
    <xf numFmtId="2" fontId="21" fillId="0" borderId="0" xfId="0" applyNumberFormat="1" applyFont="1" applyAlignment="1">
      <alignment horizontal="center" vertical="center"/>
    </xf>
    <xf numFmtId="0" fontId="21" fillId="0" borderId="0" xfId="0" quotePrefix="1" applyFont="1" applyBorder="1" applyAlignment="1">
      <alignment horizontal="center" vertical="center"/>
    </xf>
    <xf numFmtId="2" fontId="21" fillId="0" borderId="0" xfId="0" applyNumberFormat="1" applyFont="1" applyAlignment="1">
      <alignment vertical="center"/>
    </xf>
    <xf numFmtId="0" fontId="21" fillId="0" borderId="0" xfId="0" quotePrefix="1" applyFont="1" applyAlignment="1">
      <alignment horizontal="center"/>
    </xf>
    <xf numFmtId="0" fontId="21" fillId="0" borderId="0" xfId="0" applyFont="1" applyAlignment="1">
      <alignment horizontal="right"/>
    </xf>
    <xf numFmtId="43" fontId="21" fillId="0" borderId="0" xfId="1" applyFont="1" applyAlignment="1">
      <alignment horizontal="center" vertical="center"/>
    </xf>
    <xf numFmtId="0" fontId="21" fillId="0" borderId="0" xfId="0" quotePrefix="1" applyFont="1" applyBorder="1" applyAlignment="1">
      <alignment horizontal="center"/>
    </xf>
    <xf numFmtId="2" fontId="21" fillId="0" borderId="0" xfId="0" applyNumberFormat="1" applyFont="1" applyBorder="1"/>
    <xf numFmtId="0" fontId="27" fillId="0" borderId="0" xfId="0" applyFont="1" applyBorder="1" applyAlignment="1"/>
    <xf numFmtId="0" fontId="21" fillId="0" borderId="1" xfId="0" quotePrefix="1" applyFont="1" applyBorder="1" applyAlignment="1">
      <alignment horizontal="center"/>
    </xf>
    <xf numFmtId="2" fontId="21" fillId="0" borderId="1" xfId="0" applyNumberFormat="1" applyFont="1" applyBorder="1"/>
    <xf numFmtId="0" fontId="21" fillId="0" borderId="1" xfId="0" applyFont="1" applyBorder="1"/>
    <xf numFmtId="0" fontId="24" fillId="0" borderId="0" xfId="0" applyFont="1"/>
    <xf numFmtId="0" fontId="21" fillId="0" borderId="0" xfId="0" applyFont="1" applyAlignment="1">
      <alignment horizontal="center" vertical="center" wrapText="1"/>
    </xf>
    <xf numFmtId="0" fontId="20" fillId="0" borderId="0" xfId="0" applyFont="1" applyBorder="1" applyAlignment="1">
      <alignment horizontal="center"/>
    </xf>
    <xf numFmtId="0" fontId="21" fillId="0" borderId="0" xfId="0" applyFont="1" applyAlignment="1">
      <alignment horizontal="left" vertical="top" wrapText="1"/>
    </xf>
    <xf numFmtId="0" fontId="21" fillId="0" borderId="0" xfId="0" applyFont="1" applyAlignment="1">
      <alignment horizontal="center" wrapText="1"/>
    </xf>
    <xf numFmtId="0" fontId="20" fillId="0" borderId="0" xfId="0" applyFont="1" applyAlignment="1">
      <alignment horizontal="center"/>
    </xf>
    <xf numFmtId="0" fontId="21" fillId="0" borderId="0" xfId="0" applyFont="1" applyFill="1" applyBorder="1" applyAlignment="1">
      <alignment horizontal="center" vertical="center" wrapText="1"/>
    </xf>
    <xf numFmtId="0" fontId="11" fillId="0" borderId="0" xfId="0" applyFont="1" applyFill="1" applyBorder="1" applyAlignment="1">
      <alignment horizontal="center"/>
    </xf>
    <xf numFmtId="0" fontId="21" fillId="0" borderId="0" xfId="0" applyFont="1" applyBorder="1" applyAlignment="1">
      <alignment horizontal="center" vertical="center"/>
    </xf>
    <xf numFmtId="0" fontId="21" fillId="0" borderId="0" xfId="0" applyFont="1" applyAlignment="1">
      <alignment horizont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53" fillId="0" borderId="0" xfId="0" applyFont="1"/>
    <xf numFmtId="0" fontId="49" fillId="0" borderId="0" xfId="0" applyFont="1" applyAlignment="1">
      <alignment horizontal="center" vertical="center"/>
    </xf>
    <xf numFmtId="0" fontId="51" fillId="0" borderId="0" xfId="0" applyFont="1" applyBorder="1"/>
    <xf numFmtId="43" fontId="49" fillId="0" borderId="0" xfId="1" applyFont="1" applyAlignment="1">
      <alignment horizontal="center" vertical="center"/>
    </xf>
    <xf numFmtId="0" fontId="50" fillId="0" borderId="0" xfId="0" applyFont="1" applyBorder="1" applyAlignment="1">
      <alignment horizontal="right"/>
    </xf>
    <xf numFmtId="43" fontId="50" fillId="0" borderId="0" xfId="1" applyFont="1" applyBorder="1" applyAlignment="1">
      <alignment horizontal="center" vertical="center"/>
    </xf>
    <xf numFmtId="0" fontId="50" fillId="0" borderId="0" xfId="0" quotePrefix="1" applyFont="1" applyAlignment="1">
      <alignment horizontal="left"/>
    </xf>
    <xf numFmtId="2" fontId="50" fillId="0" borderId="0" xfId="0" quotePrefix="1" applyNumberFormat="1" applyFont="1" applyAlignment="1">
      <alignment horizontal="left"/>
    </xf>
    <xf numFmtId="0" fontId="49" fillId="0" borderId="0" xfId="0" applyFont="1" applyBorder="1" applyAlignment="1">
      <alignment horizontal="right" vertical="top" wrapText="1"/>
    </xf>
    <xf numFmtId="0" fontId="49" fillId="0" borderId="0" xfId="0" quotePrefix="1" applyFont="1" applyBorder="1" applyAlignment="1">
      <alignment horizontal="center" vertical="center" wrapText="1"/>
    </xf>
    <xf numFmtId="0" fontId="50" fillId="0" borderId="0" xfId="0" applyFont="1" applyBorder="1" applyAlignment="1">
      <alignment vertical="top" wrapText="1"/>
    </xf>
    <xf numFmtId="0" fontId="49" fillId="0" borderId="0" xfId="0" quotePrefix="1" applyFont="1" applyBorder="1" applyAlignment="1">
      <alignment horizontal="center"/>
    </xf>
    <xf numFmtId="0" fontId="49" fillId="0" borderId="0" xfId="0" applyFont="1" applyBorder="1" applyAlignment="1">
      <alignment horizontal="right"/>
    </xf>
    <xf numFmtId="0" fontId="49" fillId="0" borderId="0" xfId="0" applyFont="1" applyBorder="1" applyAlignment="1">
      <alignment horizontal="center" vertical="center" wrapText="1"/>
    </xf>
    <xf numFmtId="43" fontId="54" fillId="0" borderId="0" xfId="1" applyFont="1" applyBorder="1" applyAlignment="1">
      <alignment horizontal="center" vertical="center"/>
    </xf>
    <xf numFmtId="2" fontId="51" fillId="0" borderId="0" xfId="0" applyNumberFormat="1" applyFont="1" applyAlignment="1">
      <alignment horizontal="right"/>
    </xf>
    <xf numFmtId="0" fontId="51" fillId="0" borderId="0" xfId="0" applyFont="1" applyAlignment="1">
      <alignment horizontal="right"/>
    </xf>
    <xf numFmtId="0" fontId="51" fillId="0" borderId="0" xfId="0" quotePrefix="1" applyFont="1" applyFill="1" applyBorder="1"/>
    <xf numFmtId="2" fontId="51" fillId="0" borderId="0" xfId="0" applyNumberFormat="1" applyFont="1"/>
    <xf numFmtId="2" fontId="51" fillId="0" borderId="0" xfId="0" applyNumberFormat="1" applyFont="1" applyBorder="1" applyAlignment="1">
      <alignment horizontal="center"/>
    </xf>
    <xf numFmtId="0" fontId="51" fillId="0" borderId="0" xfId="0" applyFont="1" applyBorder="1" applyAlignment="1">
      <alignment horizontal="center"/>
    </xf>
    <xf numFmtId="0" fontId="51" fillId="0" borderId="0" xfId="0" applyFont="1" applyBorder="1" applyAlignment="1">
      <alignment horizontal="center" vertical="center"/>
    </xf>
    <xf numFmtId="0" fontId="51" fillId="0" borderId="0" xfId="0" applyFont="1" applyBorder="1" applyAlignment="1">
      <alignment horizontal="right"/>
    </xf>
    <xf numFmtId="0" fontId="51" fillId="0" borderId="0" xfId="0" applyFont="1" applyAlignment="1">
      <alignment horizontal="center" vertical="center"/>
    </xf>
    <xf numFmtId="49" fontId="55" fillId="0" borderId="0" xfId="0" applyNumberFormat="1" applyFont="1" applyBorder="1" applyAlignment="1">
      <alignment horizontal="center" vertical="top"/>
    </xf>
    <xf numFmtId="0" fontId="56" fillId="0" borderId="0" xfId="0" applyFont="1" applyAlignment="1">
      <alignment horizontal="right"/>
    </xf>
    <xf numFmtId="0" fontId="56" fillId="0" borderId="0" xfId="0" applyFont="1" applyAlignment="1">
      <alignment horizontal="center"/>
    </xf>
    <xf numFmtId="4" fontId="56" fillId="0" borderId="0" xfId="0" applyNumberFormat="1" applyFont="1" applyAlignment="1">
      <alignment horizontal="center"/>
    </xf>
    <xf numFmtId="0" fontId="52" fillId="0" borderId="0" xfId="0" applyFont="1" applyAlignment="1">
      <alignment horizontal="center"/>
    </xf>
    <xf numFmtId="2" fontId="52" fillId="0" borderId="0" xfId="0" applyNumberFormat="1" applyFont="1" applyAlignment="1">
      <alignment horizontal="center"/>
    </xf>
    <xf numFmtId="0" fontId="54" fillId="0" borderId="0" xfId="0" applyFont="1" applyAlignment="1">
      <alignment horizontal="center" vertical="center"/>
    </xf>
    <xf numFmtId="0" fontId="59" fillId="0" borderId="0" xfId="0" applyFont="1"/>
    <xf numFmtId="0" fontId="59" fillId="0" borderId="0" xfId="0" applyFont="1" applyAlignment="1">
      <alignment horizontal="center" vertical="center"/>
    </xf>
    <xf numFmtId="0" fontId="60" fillId="0" borderId="0" xfId="0" applyFont="1"/>
    <xf numFmtId="0" fontId="60" fillId="0" borderId="0" xfId="0" applyFont="1" applyFill="1" applyBorder="1" applyAlignment="1">
      <alignment horizontal="left" vertical="center"/>
    </xf>
    <xf numFmtId="0" fontId="60" fillId="0" borderId="0" xfId="0" applyFont="1" applyFill="1" applyBorder="1" applyAlignment="1">
      <alignment horizontal="center"/>
    </xf>
    <xf numFmtId="0" fontId="60" fillId="0" borderId="0" xfId="0" applyFont="1" applyFill="1" applyBorder="1"/>
    <xf numFmtId="0" fontId="57" fillId="0" borderId="0" xfId="0" applyFont="1" applyAlignment="1">
      <alignment horizontal="center" vertical="center"/>
    </xf>
    <xf numFmtId="1" fontId="59" fillId="0" borderId="0" xfId="0" applyNumberFormat="1" applyFont="1" applyAlignment="1">
      <alignment horizontal="center"/>
    </xf>
    <xf numFmtId="0" fontId="59" fillId="0" borderId="0" xfId="0" applyFont="1" applyAlignment="1">
      <alignment horizontal="center"/>
    </xf>
    <xf numFmtId="2" fontId="59" fillId="0" borderId="0" xfId="0" applyNumberFormat="1" applyFont="1" applyAlignment="1">
      <alignment horizontal="center"/>
    </xf>
    <xf numFmtId="0" fontId="59" fillId="0" borderId="0" xfId="0" quotePrefix="1" applyFont="1" applyBorder="1" applyAlignment="1">
      <alignment horizontal="center"/>
    </xf>
    <xf numFmtId="2" fontId="59" fillId="0" borderId="0" xfId="0" applyNumberFormat="1" applyFont="1" applyBorder="1"/>
    <xf numFmtId="0" fontId="59" fillId="0" borderId="0" xfId="0" applyFont="1" applyBorder="1" applyAlignment="1">
      <alignment horizontal="center" vertical="center"/>
    </xf>
    <xf numFmtId="0" fontId="59" fillId="0" borderId="0" xfId="0" applyFont="1" applyAlignment="1"/>
    <xf numFmtId="0" fontId="59" fillId="0" borderId="0" xfId="0" quotePrefix="1" applyFont="1" applyAlignment="1">
      <alignment horizontal="center"/>
    </xf>
    <xf numFmtId="0" fontId="59" fillId="0" borderId="0" xfId="0" applyFont="1" applyBorder="1"/>
    <xf numFmtId="2" fontId="59" fillId="0" borderId="0" xfId="0" quotePrefix="1" applyNumberFormat="1" applyFont="1" applyAlignment="1">
      <alignment horizontal="right"/>
    </xf>
    <xf numFmtId="2" fontId="59" fillId="0" borderId="0" xfId="0" applyNumberFormat="1" applyFont="1" applyAlignment="1">
      <alignment horizontal="right"/>
    </xf>
    <xf numFmtId="43" fontId="59" fillId="0" borderId="0" xfId="1" applyFont="1" applyAlignment="1">
      <alignment horizontal="center" vertical="center"/>
    </xf>
    <xf numFmtId="0" fontId="60" fillId="0" borderId="0" xfId="0" applyFont="1" applyBorder="1"/>
    <xf numFmtId="0" fontId="59" fillId="0" borderId="0" xfId="0" applyFont="1" applyBorder="1" applyAlignment="1">
      <alignment horizontal="right"/>
    </xf>
    <xf numFmtId="43" fontId="59" fillId="0" borderId="0" xfId="1" applyFont="1" applyBorder="1" applyAlignment="1">
      <alignment horizontal="center" vertical="center"/>
    </xf>
    <xf numFmtId="2" fontId="59" fillId="0" borderId="0" xfId="0" applyNumberFormat="1" applyFont="1" applyBorder="1" applyAlignment="1">
      <alignment horizontal="center" vertical="center"/>
    </xf>
    <xf numFmtId="0" fontId="59" fillId="0" borderId="0" xfId="0" quotePrefix="1" applyFont="1" applyAlignment="1">
      <alignment horizontal="left"/>
    </xf>
    <xf numFmtId="0" fontId="59" fillId="0" borderId="0" xfId="0" applyFont="1" applyAlignment="1">
      <alignment horizontal="right"/>
    </xf>
    <xf numFmtId="0" fontId="59" fillId="0" borderId="0" xfId="0" applyFont="1" applyAlignment="1">
      <alignment horizontal="left"/>
    </xf>
    <xf numFmtId="0" fontId="21" fillId="0" borderId="0" xfId="0" applyFont="1" applyBorder="1" applyAlignment="1">
      <alignment horizontal="center"/>
    </xf>
    <xf numFmtId="0" fontId="21" fillId="0" borderId="0" xfId="0" applyFont="1" applyAlignment="1"/>
    <xf numFmtId="0" fontId="21" fillId="0" borderId="0" xfId="0" quotePrefix="1" applyFont="1" applyAlignment="1"/>
    <xf numFmtId="2" fontId="21" fillId="0" borderId="2" xfId="0" applyNumberFormat="1" applyFont="1" applyBorder="1"/>
    <xf numFmtId="2" fontId="21" fillId="0" borderId="0" xfId="0" quotePrefix="1" applyNumberFormat="1" applyFont="1" applyAlignment="1">
      <alignment horizontal="right"/>
    </xf>
    <xf numFmtId="2" fontId="21" fillId="0" borderId="0" xfId="0" applyNumberFormat="1" applyFont="1" applyAlignment="1">
      <alignment horizontal="right"/>
    </xf>
    <xf numFmtId="0" fontId="62" fillId="0" borderId="0" xfId="0" applyFont="1" applyAlignment="1">
      <alignment horizontal="center" vertical="center"/>
    </xf>
    <xf numFmtId="0" fontId="63" fillId="0" borderId="0" xfId="0" applyFont="1" applyAlignment="1">
      <alignment horizontal="center" vertical="center"/>
    </xf>
    <xf numFmtId="0" fontId="24" fillId="0" borderId="0" xfId="0" quotePrefix="1" applyFont="1" applyAlignment="1">
      <alignment horizontal="left" vertical="top" wrapText="1"/>
    </xf>
    <xf numFmtId="0" fontId="25" fillId="0" borderId="0" xfId="0" quotePrefix="1" applyFont="1" applyAlignment="1">
      <alignment horizontal="center" vertical="center" wrapText="1"/>
    </xf>
    <xf numFmtId="0" fontId="25" fillId="0" borderId="0" xfId="0" applyFont="1" applyBorder="1" applyAlignment="1">
      <alignment horizontal="center" vertical="center"/>
    </xf>
    <xf numFmtId="0" fontId="21" fillId="0" borderId="2" xfId="0" applyFont="1" applyBorder="1" applyAlignment="1">
      <alignment vertical="center"/>
    </xf>
    <xf numFmtId="1" fontId="21" fillId="0" borderId="2" xfId="0" applyNumberFormat="1" applyFont="1" applyBorder="1" applyAlignment="1">
      <alignment horizontal="center"/>
    </xf>
    <xf numFmtId="0" fontId="21" fillId="0" borderId="2" xfId="0" applyFont="1" applyBorder="1" applyAlignment="1">
      <alignment horizontal="center"/>
    </xf>
    <xf numFmtId="0" fontId="21" fillId="0" borderId="2" xfId="0" quotePrefix="1" applyFont="1" applyBorder="1" applyAlignment="1">
      <alignment horizontal="center"/>
    </xf>
    <xf numFmtId="2" fontId="21" fillId="0" borderId="2" xfId="0" applyNumberFormat="1" applyFont="1" applyBorder="1" applyAlignment="1">
      <alignment horizontal="center" wrapText="1"/>
    </xf>
    <xf numFmtId="43" fontId="21" fillId="0" borderId="2" xfId="1" applyFont="1" applyBorder="1" applyAlignment="1">
      <alignment horizontal="center" vertical="center"/>
    </xf>
    <xf numFmtId="0" fontId="21" fillId="0" borderId="0" xfId="0" applyFont="1" applyBorder="1" applyAlignment="1">
      <alignment horizontal="right"/>
    </xf>
    <xf numFmtId="43" fontId="21" fillId="0" borderId="0" xfId="1" applyFont="1" applyBorder="1" applyAlignment="1">
      <alignment horizontal="center" vertical="center"/>
    </xf>
    <xf numFmtId="0" fontId="21" fillId="0" borderId="0" xfId="0" applyFont="1" applyBorder="1" applyAlignment="1">
      <alignment vertical="center"/>
    </xf>
    <xf numFmtId="1" fontId="21" fillId="0" borderId="0" xfId="0" applyNumberFormat="1" applyFont="1" applyBorder="1" applyAlignment="1">
      <alignment horizontal="center"/>
    </xf>
    <xf numFmtId="2" fontId="21" fillId="0" borderId="0" xfId="0" applyNumberFormat="1" applyFont="1" applyBorder="1" applyAlignment="1">
      <alignment horizontal="center"/>
    </xf>
    <xf numFmtId="2" fontId="21" fillId="0" borderId="0" xfId="0" applyNumberFormat="1" applyFont="1" applyBorder="1" applyAlignment="1">
      <alignment horizontal="center" vertical="center"/>
    </xf>
    <xf numFmtId="0" fontId="57" fillId="0" borderId="0" xfId="0" applyFont="1" applyAlignment="1">
      <alignment horizontal="center" vertical="center" wrapText="1"/>
    </xf>
    <xf numFmtId="1" fontId="59" fillId="0" borderId="0" xfId="0" applyNumberFormat="1" applyFont="1" applyAlignment="1">
      <alignment horizontal="center" vertical="center"/>
    </xf>
    <xf numFmtId="2" fontId="59" fillId="0" borderId="0" xfId="0" applyNumberFormat="1" applyFont="1" applyAlignment="1">
      <alignment horizontal="center" vertical="center"/>
    </xf>
    <xf numFmtId="0" fontId="59" fillId="0" borderId="0" xfId="0" quotePrefix="1" applyFont="1" applyBorder="1" applyAlignment="1">
      <alignment horizontal="center" vertical="center"/>
    </xf>
    <xf numFmtId="2" fontId="59" fillId="0" borderId="0" xfId="0" applyNumberFormat="1" applyFont="1" applyAlignment="1">
      <alignment vertical="center"/>
    </xf>
    <xf numFmtId="2" fontId="59" fillId="0" borderId="0" xfId="0" applyNumberFormat="1" applyFont="1" applyBorder="1" applyAlignment="1">
      <alignment vertical="center"/>
    </xf>
    <xf numFmtId="0" fontId="59" fillId="0" borderId="0" xfId="0" applyFont="1" applyAlignment="1">
      <alignment horizontal="justify" vertical="top" wrapText="1"/>
    </xf>
    <xf numFmtId="0" fontId="59" fillId="0" borderId="0" xfId="0" applyFont="1" applyAlignment="1">
      <alignment vertical="center"/>
    </xf>
    <xf numFmtId="2" fontId="59" fillId="0" borderId="0" xfId="0" quotePrefix="1" applyNumberFormat="1" applyFont="1" applyAlignment="1">
      <alignment horizontal="right" vertical="center"/>
    </xf>
    <xf numFmtId="2" fontId="59" fillId="0" borderId="0" xfId="0" applyNumberFormat="1" applyFont="1" applyAlignment="1">
      <alignment horizontal="right" vertical="center"/>
    </xf>
    <xf numFmtId="0" fontId="59" fillId="0" borderId="0" xfId="0" quotePrefix="1" applyFont="1" applyAlignment="1">
      <alignment horizontal="left" vertical="center"/>
    </xf>
    <xf numFmtId="0" fontId="59" fillId="0" borderId="0" xfId="0" quotePrefix="1" applyFont="1" applyAlignment="1">
      <alignment horizontal="center" vertical="center"/>
    </xf>
    <xf numFmtId="0" fontId="59" fillId="0" borderId="0" xfId="0" applyFont="1" applyAlignment="1">
      <alignment horizontal="right" vertical="center"/>
    </xf>
    <xf numFmtId="0" fontId="21" fillId="0" borderId="1" xfId="0" quotePrefix="1" applyFont="1" applyBorder="1" applyAlignment="1">
      <alignment horizontal="center" vertical="center"/>
    </xf>
    <xf numFmtId="2" fontId="21" fillId="0" borderId="1" xfId="0" applyNumberFormat="1" applyFont="1" applyBorder="1" applyAlignment="1">
      <alignment vertical="center"/>
    </xf>
    <xf numFmtId="0" fontId="21" fillId="0" borderId="0" xfId="0" applyFont="1" applyAlignment="1">
      <alignment horizontal="justify" vertical="top" wrapText="1"/>
    </xf>
    <xf numFmtId="0" fontId="59" fillId="0" borderId="0" xfId="0" applyFont="1" applyAlignment="1">
      <alignment horizontal="left" vertical="top"/>
    </xf>
    <xf numFmtId="0" fontId="59" fillId="0" borderId="0" xfId="0" applyFont="1" applyAlignment="1">
      <alignment horizontal="left" vertical="top" wrapText="1"/>
    </xf>
    <xf numFmtId="0" fontId="58" fillId="0" borderId="0" xfId="0" applyFont="1" applyAlignment="1">
      <alignment horizontal="left" vertical="top"/>
    </xf>
    <xf numFmtId="0" fontId="21" fillId="0" borderId="0" xfId="0" applyFont="1" applyAlignment="1">
      <alignment horizontal="left" vertical="top"/>
    </xf>
    <xf numFmtId="0" fontId="24" fillId="0" borderId="0" xfId="0" applyFont="1" applyAlignment="1">
      <alignment horizontal="left" vertical="top"/>
    </xf>
    <xf numFmtId="0" fontId="21" fillId="0" borderId="0" xfId="0" applyFont="1" applyAlignment="1">
      <alignment horizontal="left"/>
    </xf>
    <xf numFmtId="0" fontId="25" fillId="0" borderId="0" xfId="0" applyFont="1" applyAlignment="1">
      <alignment horizontal="center" vertical="center"/>
    </xf>
    <xf numFmtId="0" fontId="21" fillId="0" borderId="0" xfId="0" quotePrefix="1" applyFont="1" applyBorder="1" applyAlignment="1">
      <alignment horizontal="left"/>
    </xf>
    <xf numFmtId="0" fontId="21" fillId="0" borderId="1" xfId="0" applyFont="1" applyBorder="1" applyAlignment="1">
      <alignment horizontal="center"/>
    </xf>
    <xf numFmtId="2" fontId="21" fillId="0" borderId="0" xfId="0" quotePrefix="1" applyNumberFormat="1" applyFont="1" applyAlignment="1">
      <alignment horizontal="left"/>
    </xf>
    <xf numFmtId="0" fontId="21" fillId="0" borderId="0" xfId="0" applyFont="1" applyAlignment="1">
      <alignment horizontal="center" vertical="center"/>
    </xf>
    <xf numFmtId="0" fontId="21" fillId="0" borderId="0" xfId="0" applyFont="1" applyAlignment="1">
      <alignment horizontal="center" vertical="top" wrapText="1"/>
    </xf>
    <xf numFmtId="0" fontId="25" fillId="0" borderId="0" xfId="0" applyFont="1" applyBorder="1" applyAlignment="1"/>
    <xf numFmtId="0" fontId="25" fillId="0" borderId="0" xfId="0" quotePrefix="1" applyFont="1" applyAlignment="1">
      <alignment horizontal="center"/>
    </xf>
    <xf numFmtId="0" fontId="25" fillId="0" borderId="0" xfId="0" applyFont="1" applyAlignment="1">
      <alignment horizontal="right"/>
    </xf>
    <xf numFmtId="43" fontId="25" fillId="0" borderId="0" xfId="1" applyFont="1" applyAlignment="1">
      <alignment horizontal="center" vertical="center"/>
    </xf>
    <xf numFmtId="0" fontId="21" fillId="0" borderId="1" xfId="0" applyFont="1" applyBorder="1" applyAlignment="1">
      <alignment horizontal="right"/>
    </xf>
    <xf numFmtId="43" fontId="21" fillId="0" borderId="1" xfId="1" applyFont="1" applyBorder="1" applyAlignment="1">
      <alignment horizontal="center" vertical="center"/>
    </xf>
    <xf numFmtId="2" fontId="26" fillId="0" borderId="0" xfId="0" applyNumberFormat="1" applyFont="1" applyAlignment="1">
      <alignment horizontal="right"/>
    </xf>
    <xf numFmtId="43" fontId="25" fillId="0" borderId="0" xfId="1" applyFont="1" applyBorder="1" applyAlignment="1">
      <alignment horizontal="center" vertical="center"/>
    </xf>
    <xf numFmtId="0" fontId="21" fillId="0" borderId="0" xfId="0" applyFont="1" applyBorder="1" applyAlignment="1">
      <alignment vertical="top" wrapText="1"/>
    </xf>
    <xf numFmtId="0" fontId="25" fillId="0" borderId="0" xfId="0" quotePrefix="1" applyFont="1" applyBorder="1" applyAlignment="1">
      <alignment horizontal="center"/>
    </xf>
    <xf numFmtId="0" fontId="25" fillId="0" borderId="0" xfId="0" applyFont="1" applyBorder="1" applyAlignment="1">
      <alignment horizontal="right"/>
    </xf>
    <xf numFmtId="0" fontId="21" fillId="0" borderId="0" xfId="0" quotePrefix="1" applyFont="1" applyFill="1" applyBorder="1"/>
    <xf numFmtId="43" fontId="26" fillId="0" borderId="0" xfId="1" applyFont="1" applyBorder="1" applyAlignment="1">
      <alignment horizontal="center" vertical="center"/>
    </xf>
    <xf numFmtId="2" fontId="11" fillId="0" borderId="0" xfId="0" applyNumberFormat="1" applyFont="1" applyAlignment="1">
      <alignment horizontal="right"/>
    </xf>
    <xf numFmtId="0" fontId="11" fillId="0" borderId="0" xfId="0" applyFont="1" applyAlignment="1">
      <alignment horizontal="right"/>
    </xf>
    <xf numFmtId="0" fontId="11" fillId="0" borderId="0" xfId="0" quotePrefix="1" applyFont="1" applyFill="1" applyBorder="1"/>
    <xf numFmtId="2" fontId="11" fillId="0" borderId="0" xfId="0" applyNumberFormat="1" applyFont="1"/>
    <xf numFmtId="2" fontId="11" fillId="0" borderId="0" xfId="0" applyNumberFormat="1" applyFont="1" applyBorder="1" applyAlignment="1">
      <alignment horizontal="center"/>
    </xf>
    <xf numFmtId="0" fontId="11" fillId="0" borderId="0" xfId="0" applyFont="1" applyBorder="1" applyAlignment="1">
      <alignment horizontal="center"/>
    </xf>
    <xf numFmtId="0" fontId="11" fillId="0" borderId="0" xfId="0" applyFont="1" applyBorder="1" applyAlignment="1">
      <alignment horizontal="center" vertical="center"/>
    </xf>
    <xf numFmtId="0" fontId="11" fillId="0" borderId="0" xfId="0" applyFont="1" applyBorder="1" applyAlignment="1">
      <alignment horizontal="right"/>
    </xf>
    <xf numFmtId="0" fontId="24" fillId="0" borderId="0" xfId="0" applyFont="1" applyAlignment="1">
      <alignment horizontal="center" vertical="center" wrapText="1"/>
    </xf>
    <xf numFmtId="0" fontId="24" fillId="0" borderId="0" xfId="0" applyFont="1" applyAlignment="1">
      <alignment vertical="center" wrapText="1"/>
    </xf>
    <xf numFmtId="2" fontId="11" fillId="0" borderId="0" xfId="0" applyNumberFormat="1" applyFont="1" applyAlignment="1">
      <alignment horizontal="center" vertical="center"/>
    </xf>
    <xf numFmtId="2" fontId="20" fillId="0" borderId="0" xfId="0" applyNumberFormat="1" applyFont="1" applyAlignment="1">
      <alignment horizontal="right"/>
    </xf>
    <xf numFmtId="2" fontId="28" fillId="0" borderId="0" xfId="0" applyNumberFormat="1" applyFont="1" applyAlignment="1">
      <alignment horizontal="right"/>
    </xf>
    <xf numFmtId="0" fontId="20" fillId="0" borderId="0" xfId="0" quotePrefix="1" applyFont="1" applyAlignment="1">
      <alignment horizontal="left"/>
    </xf>
    <xf numFmtId="0" fontId="27" fillId="0" borderId="0" xfId="0" applyFont="1" applyAlignment="1">
      <alignment horizontal="center" vertical="center"/>
    </xf>
    <xf numFmtId="0" fontId="21" fillId="0" borderId="0" xfId="0" applyFont="1" applyAlignment="1">
      <alignment horizontal="center"/>
    </xf>
    <xf numFmtId="0" fontId="21" fillId="0" borderId="0" xfId="0" applyFont="1" applyAlignment="1">
      <alignment horizontal="center" vertical="center"/>
    </xf>
    <xf numFmtId="0" fontId="21" fillId="0" borderId="0" xfId="0" quotePrefix="1" applyFont="1" applyAlignment="1">
      <alignment horizontal="left"/>
    </xf>
    <xf numFmtId="2" fontId="21" fillId="0" borderId="0" xfId="0" applyNumberFormat="1" applyFont="1" applyAlignment="1">
      <alignment horizontal="right"/>
    </xf>
    <xf numFmtId="0" fontId="59" fillId="0" borderId="0" xfId="0" applyFont="1" applyAlignment="1">
      <alignment horizontal="center"/>
    </xf>
    <xf numFmtId="0" fontId="25" fillId="0" borderId="0" xfId="0" applyFont="1" applyAlignment="1">
      <alignment horizontal="center" vertical="center"/>
    </xf>
    <xf numFmtId="0" fontId="59" fillId="0" borderId="0" xfId="0" applyFont="1" applyBorder="1" applyAlignment="1">
      <alignment horizontal="center" vertical="center"/>
    </xf>
    <xf numFmtId="2" fontId="59" fillId="0" borderId="0" xfId="0" applyNumberFormat="1" applyFont="1" applyAlignment="1">
      <alignment horizontal="right"/>
    </xf>
    <xf numFmtId="0" fontId="21" fillId="0" borderId="1" xfId="0" applyFont="1" applyBorder="1" applyAlignment="1">
      <alignment horizontal="center" vertical="center"/>
    </xf>
    <xf numFmtId="2" fontId="21" fillId="0" borderId="1" xfId="0" applyNumberFormat="1" applyFont="1" applyBorder="1" applyAlignment="1">
      <alignment horizontal="center" vertical="center"/>
    </xf>
    <xf numFmtId="2" fontId="59" fillId="0" borderId="1" xfId="0" applyNumberFormat="1" applyFont="1" applyBorder="1" applyAlignment="1">
      <alignment horizontal="center"/>
    </xf>
    <xf numFmtId="0" fontId="59" fillId="0" borderId="1" xfId="0" quotePrefix="1" applyFont="1" applyBorder="1" applyAlignment="1">
      <alignment horizontal="center"/>
    </xf>
    <xf numFmtId="2" fontId="59" fillId="0" borderId="1" xfId="0" applyNumberFormat="1" applyFont="1" applyBorder="1" applyAlignment="1">
      <alignment vertical="center"/>
    </xf>
    <xf numFmtId="0" fontId="59" fillId="0" borderId="1" xfId="0" applyFont="1" applyBorder="1" applyAlignment="1">
      <alignment horizontal="center" vertical="center"/>
    </xf>
    <xf numFmtId="0" fontId="66" fillId="0" borderId="0" xfId="0" applyFont="1"/>
    <xf numFmtId="0" fontId="59" fillId="0" borderId="0" xfId="0" applyFont="1" applyAlignment="1">
      <alignment horizontal="left" vertical="center"/>
    </xf>
    <xf numFmtId="0" fontId="60" fillId="0" borderId="0" xfId="0" quotePrefix="1" applyFont="1" applyBorder="1" applyAlignment="1">
      <alignment horizontal="center"/>
    </xf>
    <xf numFmtId="0" fontId="67" fillId="0" borderId="0" xfId="0" applyFont="1"/>
    <xf numFmtId="0" fontId="60" fillId="0" borderId="0" xfId="0" applyFont="1" applyAlignment="1">
      <alignment horizontal="center"/>
    </xf>
    <xf numFmtId="9" fontId="60" fillId="0" borderId="0" xfId="0" applyNumberFormat="1" applyFont="1" applyBorder="1" applyAlignment="1">
      <alignment horizontal="center"/>
    </xf>
    <xf numFmtId="0" fontId="58" fillId="0" borderId="0" xfId="0" applyFont="1"/>
    <xf numFmtId="164" fontId="59" fillId="0" borderId="0" xfId="1" applyNumberFormat="1" applyFont="1" applyBorder="1" applyAlignment="1">
      <alignment horizontal="center"/>
    </xf>
    <xf numFmtId="2" fontId="59" fillId="0" borderId="1" xfId="0" applyNumberFormat="1" applyFont="1" applyBorder="1"/>
    <xf numFmtId="0" fontId="59" fillId="0" borderId="1" xfId="0" applyFont="1" applyBorder="1"/>
    <xf numFmtId="2" fontId="59" fillId="0" borderId="0" xfId="0" applyNumberFormat="1" applyFont="1" applyBorder="1" applyAlignment="1">
      <alignment horizontal="right"/>
    </xf>
    <xf numFmtId="9" fontId="59" fillId="0" borderId="0" xfId="0" applyNumberFormat="1" applyFont="1" applyBorder="1" applyAlignment="1">
      <alignment horizontal="center"/>
    </xf>
    <xf numFmtId="2" fontId="59" fillId="0" borderId="1" xfId="0" applyNumberFormat="1" applyFont="1" applyBorder="1" applyAlignment="1">
      <alignment horizontal="right"/>
    </xf>
    <xf numFmtId="166" fontId="59" fillId="0" borderId="0" xfId="0" quotePrefix="1" applyNumberFormat="1" applyFont="1" applyAlignment="1">
      <alignment horizontal="center"/>
    </xf>
    <xf numFmtId="0" fontId="24" fillId="0" borderId="0" xfId="0" applyFont="1" applyBorder="1" applyAlignment="1">
      <alignment horizontal="center" wrapText="1"/>
    </xf>
    <xf numFmtId="0" fontId="6" fillId="0" borderId="0" xfId="0" applyFont="1" applyBorder="1" applyAlignment="1">
      <alignment horizontal="right"/>
    </xf>
    <xf numFmtId="2" fontId="0" fillId="0" borderId="0" xfId="0" applyNumberFormat="1"/>
    <xf numFmtId="2" fontId="0" fillId="0" borderId="0" xfId="0" quotePrefix="1" applyNumberFormat="1" applyAlignment="1">
      <alignment horizontal="right"/>
    </xf>
    <xf numFmtId="0" fontId="0" fillId="0" borderId="0" xfId="0" applyBorder="1" applyAlignment="1">
      <alignment horizontal="right" vertical="top" wrapText="1"/>
    </xf>
    <xf numFmtId="2" fontId="0" fillId="0" borderId="0" xfId="0" applyNumberFormat="1" applyAlignment="1">
      <alignment horizontal="center"/>
    </xf>
    <xf numFmtId="0" fontId="6" fillId="0" borderId="0" xfId="0" applyFont="1"/>
    <xf numFmtId="0" fontId="0" fillId="0" borderId="0" xfId="0"/>
    <xf numFmtId="2" fontId="0" fillId="0" borderId="0" xfId="0" applyNumberFormat="1" applyAlignment="1">
      <alignment horizontal="right"/>
    </xf>
    <xf numFmtId="0" fontId="0" fillId="0" borderId="0" xfId="0" applyAlignment="1">
      <alignment horizontal="center" vertical="center"/>
    </xf>
    <xf numFmtId="2" fontId="0" fillId="0" borderId="0" xfId="0" applyNumberFormat="1" applyAlignment="1">
      <alignment horizontal="center" vertical="center"/>
    </xf>
    <xf numFmtId="0" fontId="2" fillId="0" borderId="0" xfId="0" applyFont="1" applyBorder="1" applyAlignment="1">
      <alignment horizontal="right"/>
    </xf>
    <xf numFmtId="0" fontId="2" fillId="0" borderId="0" xfId="0" applyFont="1" applyAlignment="1">
      <alignment horizontal="right"/>
    </xf>
    <xf numFmtId="2" fontId="0" fillId="0" borderId="0" xfId="0" applyNumberFormat="1" applyAlignment="1">
      <alignment horizontal="right" vertical="center"/>
    </xf>
    <xf numFmtId="0" fontId="0" fillId="0" borderId="0" xfId="0" applyBorder="1" applyAlignment="1">
      <alignment horizontal="center" vertical="top"/>
    </xf>
    <xf numFmtId="0" fontId="0" fillId="0" borderId="0" xfId="0" applyAlignment="1">
      <alignment wrapText="1"/>
    </xf>
    <xf numFmtId="0" fontId="3" fillId="0" borderId="0" xfId="0" applyFont="1" applyAlignment="1">
      <alignment horizontal="left" vertical="center"/>
    </xf>
    <xf numFmtId="0" fontId="6" fillId="0" borderId="0" xfId="0" quotePrefix="1" applyFont="1" applyAlignment="1">
      <alignment horizontal="center" vertical="center"/>
    </xf>
    <xf numFmtId="0" fontId="6" fillId="0" borderId="0" xfId="0" applyFont="1" applyAlignment="1">
      <alignment horizontal="center" vertical="center"/>
    </xf>
    <xf numFmtId="166" fontId="0" fillId="0" borderId="0" xfId="0" applyNumberFormat="1" applyAlignment="1">
      <alignment horizontal="center" vertical="center"/>
    </xf>
    <xf numFmtId="0" fontId="0" fillId="0" borderId="0" xfId="0" quotePrefix="1" applyAlignment="1">
      <alignment horizontal="center" vertical="center"/>
    </xf>
    <xf numFmtId="0" fontId="0" fillId="0" borderId="0" xfId="0" quotePrefix="1" applyAlignment="1">
      <alignment horizontal="right"/>
    </xf>
    <xf numFmtId="2" fontId="0" fillId="0" borderId="1" xfId="0" applyNumberFormat="1" applyBorder="1" applyAlignment="1">
      <alignment horizontal="right"/>
    </xf>
    <xf numFmtId="0" fontId="0" fillId="0" borderId="0" xfId="0" quotePrefix="1" applyAlignment="1">
      <alignment horizontal="left"/>
    </xf>
    <xf numFmtId="0" fontId="0" fillId="0" borderId="0" xfId="0" applyAlignment="1">
      <alignment horizontal="left"/>
    </xf>
    <xf numFmtId="0" fontId="0" fillId="0" borderId="0" xfId="0" applyAlignment="1">
      <alignment vertical="top" wrapText="1"/>
    </xf>
    <xf numFmtId="0" fontId="1" fillId="0" borderId="0" xfId="0" applyFont="1" applyBorder="1" applyAlignment="1">
      <alignment horizontal="left"/>
    </xf>
    <xf numFmtId="0" fontId="0" fillId="0" borderId="0" xfId="0" applyAlignment="1">
      <alignment horizontal="right"/>
    </xf>
    <xf numFmtId="2" fontId="0" fillId="0" borderId="0" xfId="0" applyNumberFormat="1" applyBorder="1" applyAlignment="1">
      <alignment horizontal="center"/>
    </xf>
    <xf numFmtId="0" fontId="0" fillId="0" borderId="0" xfId="0" applyBorder="1" applyAlignment="1">
      <alignment horizontal="center"/>
    </xf>
    <xf numFmtId="2" fontId="2" fillId="0" borderId="0" xfId="0" applyNumberFormat="1" applyFont="1" applyAlignment="1">
      <alignment horizontal="right"/>
    </xf>
    <xf numFmtId="0" fontId="8" fillId="0" borderId="0" xfId="0" applyFont="1" applyAlignment="1">
      <alignment horizontal="center" vertical="top"/>
    </xf>
    <xf numFmtId="0" fontId="0" fillId="0" borderId="0" xfId="0" applyAlignment="1">
      <alignment horizontal="left" vertical="center"/>
    </xf>
    <xf numFmtId="2" fontId="6" fillId="0" borderId="0" xfId="0" applyNumberFormat="1" applyFont="1" applyAlignment="1">
      <alignment horizontal="center" vertical="center"/>
    </xf>
    <xf numFmtId="2" fontId="1" fillId="0" borderId="2" xfId="0" applyNumberFormat="1" applyFont="1" applyBorder="1" applyAlignment="1">
      <alignment horizontal="right"/>
    </xf>
    <xf numFmtId="0" fontId="1" fillId="0" borderId="2" xfId="0" applyFont="1" applyBorder="1" applyAlignment="1">
      <alignment horizontal="right"/>
    </xf>
    <xf numFmtId="0" fontId="10" fillId="0" borderId="0" xfId="0" applyFont="1" applyAlignment="1">
      <alignment horizontal="right"/>
    </xf>
    <xf numFmtId="0" fontId="2" fillId="0" borderId="0" xfId="0" applyFont="1" applyBorder="1" applyAlignment="1">
      <alignment horizontal="center"/>
    </xf>
    <xf numFmtId="0" fontId="0" fillId="0" borderId="0" xfId="0" applyAlignment="1">
      <alignment horizontal="center"/>
    </xf>
    <xf numFmtId="2" fontId="0" fillId="0" borderId="0" xfId="0" applyNumberFormat="1" applyBorder="1" applyAlignment="1">
      <alignment horizontal="right"/>
    </xf>
    <xf numFmtId="2" fontId="0" fillId="0" borderId="0" xfId="0" applyNumberFormat="1" applyBorder="1"/>
    <xf numFmtId="0" fontId="0" fillId="0" borderId="0" xfId="0" applyBorder="1" applyAlignment="1">
      <alignment horizontal="left" vertical="top" wrapText="1"/>
    </xf>
    <xf numFmtId="0" fontId="6" fillId="0" borderId="0" xfId="0" applyFont="1" applyAlignment="1">
      <alignment horizontal="right"/>
    </xf>
    <xf numFmtId="0" fontId="0" fillId="0" borderId="0" xfId="0" applyAlignment="1">
      <alignment horizontal="left" vertical="top" wrapText="1"/>
    </xf>
    <xf numFmtId="2" fontId="0" fillId="0" borderId="0" xfId="0" applyNumberFormat="1" applyAlignment="1"/>
    <xf numFmtId="2" fontId="1" fillId="0" borderId="0" xfId="0" quotePrefix="1" applyNumberFormat="1" applyFont="1" applyBorder="1" applyAlignment="1">
      <alignment horizontal="right"/>
    </xf>
    <xf numFmtId="0" fontId="1" fillId="0" borderId="0" xfId="0" quotePrefix="1" applyFont="1" applyBorder="1" applyAlignment="1">
      <alignment horizontal="right"/>
    </xf>
    <xf numFmtId="2" fontId="1" fillId="0" borderId="1" xfId="0" applyNumberFormat="1" applyFont="1" applyBorder="1" applyAlignment="1">
      <alignment horizontal="right"/>
    </xf>
    <xf numFmtId="0" fontId="1" fillId="0" borderId="1" xfId="0" applyFont="1" applyBorder="1" applyAlignment="1">
      <alignment horizontal="left"/>
    </xf>
    <xf numFmtId="0" fontId="3" fillId="0" borderId="0" xfId="0" applyFont="1" applyAlignment="1">
      <alignment horizontal="left" vertical="center" wrapText="1"/>
    </xf>
    <xf numFmtId="0" fontId="3" fillId="0" borderId="0" xfId="0" quotePrefix="1" applyFont="1" applyAlignment="1">
      <alignment horizontal="left"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Alignment="1">
      <alignment horizontal="justify" vertical="top" wrapText="1"/>
    </xf>
    <xf numFmtId="0" fontId="0" fillId="0" borderId="0" xfId="0" quotePrefix="1" applyBorder="1" applyAlignment="1">
      <alignment horizontal="center" vertical="center"/>
    </xf>
    <xf numFmtId="0" fontId="0" fillId="0" borderId="1" xfId="0" quotePrefix="1" applyBorder="1" applyAlignment="1">
      <alignment horizontal="center" vertical="center"/>
    </xf>
    <xf numFmtId="2" fontId="0" fillId="0" borderId="0" xfId="0" applyNumberFormat="1" applyBorder="1" applyAlignment="1">
      <alignment horizontal="right" vertical="center"/>
    </xf>
    <xf numFmtId="2" fontId="0" fillId="0" borderId="1" xfId="0" applyNumberFormat="1" applyBorder="1" applyAlignment="1">
      <alignment horizontal="right" vertical="center"/>
    </xf>
    <xf numFmtId="0" fontId="0" fillId="0" borderId="0" xfId="0" applyBorder="1" applyAlignment="1">
      <alignment horizontal="center" vertical="center"/>
    </xf>
    <xf numFmtId="0" fontId="0" fillId="0" borderId="1" xfId="0" applyBorder="1" applyAlignment="1">
      <alignment horizontal="center" vertical="center"/>
    </xf>
    <xf numFmtId="2" fontId="0" fillId="0" borderId="0" xfId="0" applyNumberFormat="1" applyBorder="1" applyAlignment="1">
      <alignment horizontal="center" vertical="center"/>
    </xf>
    <xf numFmtId="2" fontId="0" fillId="0" borderId="1" xfId="0" applyNumberFormat="1" applyBorder="1" applyAlignment="1">
      <alignment horizontal="center" vertical="center"/>
    </xf>
    <xf numFmtId="2" fontId="0" fillId="0" borderId="0" xfId="0" applyNumberFormat="1" applyBorder="1" applyAlignment="1">
      <alignment vertical="center"/>
    </xf>
    <xf numFmtId="0" fontId="0" fillId="0" borderId="1" xfId="0" applyBorder="1" applyAlignment="1">
      <alignment vertical="center"/>
    </xf>
    <xf numFmtId="0" fontId="3" fillId="0" borderId="0" xfId="0" applyFont="1" applyAlignment="1">
      <alignment wrapText="1"/>
    </xf>
    <xf numFmtId="0" fontId="0" fillId="0" borderId="0" xfId="0" applyBorder="1" applyAlignment="1">
      <alignment vertical="center"/>
    </xf>
    <xf numFmtId="0" fontId="3" fillId="0" borderId="0" xfId="0" quotePrefix="1" applyFont="1" applyAlignment="1">
      <alignment horizontal="left" vertical="center"/>
    </xf>
    <xf numFmtId="0" fontId="2" fillId="0" borderId="2" xfId="0" applyFont="1" applyBorder="1" applyAlignment="1">
      <alignment horizontal="right"/>
    </xf>
    <xf numFmtId="0" fontId="8" fillId="0" borderId="0" xfId="0" applyFont="1" applyAlignment="1">
      <alignment horizontal="center" vertical="top" wrapText="1"/>
    </xf>
    <xf numFmtId="0" fontId="8" fillId="0" borderId="0" xfId="0" applyFont="1" applyAlignment="1">
      <alignment horizontal="center" vertical="center"/>
    </xf>
    <xf numFmtId="2" fontId="0" fillId="0" borderId="0" xfId="0" applyNumberFormat="1" applyAlignment="1">
      <alignment vertical="center"/>
    </xf>
    <xf numFmtId="0" fontId="0" fillId="0" borderId="1" xfId="0" quotePrefix="1" applyBorder="1"/>
    <xf numFmtId="0" fontId="0" fillId="0" borderId="0" xfId="0" quotePrefix="1"/>
    <xf numFmtId="0" fontId="0" fillId="0" borderId="1" xfId="0" quotePrefix="1" applyBorder="1" applyAlignment="1">
      <alignment horizontal="right"/>
    </xf>
    <xf numFmtId="0" fontId="0" fillId="0" borderId="0" xfId="0" quotePrefix="1" applyBorder="1"/>
    <xf numFmtId="0" fontId="0" fillId="0" borderId="0" xfId="0" quotePrefix="1" applyBorder="1" applyAlignment="1">
      <alignment horizontal="right"/>
    </xf>
    <xf numFmtId="0" fontId="2" fillId="0" borderId="0" xfId="0" applyFont="1" applyAlignment="1">
      <alignment horizontal="center"/>
    </xf>
    <xf numFmtId="0" fontId="0" fillId="0" borderId="0" xfId="0" quotePrefix="1" applyAlignment="1">
      <alignment horizontal="center"/>
    </xf>
    <xf numFmtId="2" fontId="6" fillId="0" borderId="0" xfId="0" quotePrefix="1" applyNumberFormat="1" applyFont="1" applyAlignment="1">
      <alignment horizontal="right"/>
    </xf>
    <xf numFmtId="0" fontId="0" fillId="0" borderId="0" xfId="0" quotePrefix="1" applyBorder="1" applyAlignment="1">
      <alignment vertical="top" wrapText="1"/>
    </xf>
    <xf numFmtId="2" fontId="0" fillId="0" borderId="0" xfId="0" quotePrefix="1" applyNumberFormat="1" applyBorder="1" applyAlignment="1">
      <alignment horizontal="right" vertical="center"/>
    </xf>
    <xf numFmtId="2" fontId="0" fillId="0" borderId="0" xfId="0" quotePrefix="1" applyNumberFormat="1" applyAlignment="1"/>
    <xf numFmtId="2" fontId="0" fillId="0" borderId="1" xfId="0" applyNumberFormat="1" applyBorder="1"/>
    <xf numFmtId="2" fontId="0" fillId="0" borderId="1" xfId="0" applyNumberFormat="1" applyBorder="1" applyAlignment="1">
      <alignment horizontal="right" vertical="top" wrapText="1"/>
    </xf>
    <xf numFmtId="166" fontId="0" fillId="0" borderId="0" xfId="0" applyNumberFormat="1" applyBorder="1" applyAlignment="1">
      <alignment horizontal="center"/>
    </xf>
    <xf numFmtId="0" fontId="0" fillId="0" borderId="0" xfId="0" applyBorder="1" applyAlignment="1">
      <alignment horizontal="right"/>
    </xf>
    <xf numFmtId="2" fontId="0" fillId="0" borderId="0" xfId="0" applyNumberFormat="1" applyAlignment="1">
      <alignment horizontal="right" vertical="top" wrapText="1"/>
    </xf>
    <xf numFmtId="0" fontId="0" fillId="0" borderId="0" xfId="0" applyAlignment="1">
      <alignment vertical="top"/>
    </xf>
    <xf numFmtId="2" fontId="0" fillId="0" borderId="0" xfId="0" quotePrefix="1" applyNumberFormat="1" applyAlignment="1">
      <alignment vertical="top" wrapText="1"/>
    </xf>
    <xf numFmtId="0" fontId="0" fillId="0" borderId="0" xfId="0" quotePrefix="1" applyAlignment="1">
      <alignment horizontal="left" vertical="top" wrapText="1"/>
    </xf>
    <xf numFmtId="0" fontId="6" fillId="0" borderId="0" xfId="0" applyFont="1" applyAlignment="1">
      <alignment horizontal="left"/>
    </xf>
    <xf numFmtId="0" fontId="2" fillId="0" borderId="0" xfId="0" applyFont="1" applyAlignment="1">
      <alignment horizontal="left"/>
    </xf>
    <xf numFmtId="0" fontId="8" fillId="0" borderId="0" xfId="0" applyFont="1" applyAlignment="1">
      <alignment horizontal="center" vertical="center" wrapText="1"/>
    </xf>
    <xf numFmtId="2" fontId="0" fillId="0" borderId="0" xfId="0" applyNumberFormat="1" applyAlignment="1">
      <alignment horizontal="center" vertical="top" wrapText="1"/>
    </xf>
    <xf numFmtId="2" fontId="0" fillId="0" borderId="0" xfId="0" applyNumberFormat="1" applyAlignment="1">
      <alignment horizontal="left"/>
    </xf>
    <xf numFmtId="0" fontId="2" fillId="0" borderId="0" xfId="0" applyFont="1" applyAlignment="1">
      <alignment horizontal="center" vertical="center" wrapText="1"/>
    </xf>
    <xf numFmtId="0" fontId="6" fillId="0" borderId="0" xfId="0" quotePrefix="1" applyFont="1" applyAlignment="1">
      <alignment horizontal="left" vertical="center"/>
    </xf>
    <xf numFmtId="2" fontId="0" fillId="0" borderId="1" xfId="0" applyNumberFormat="1" applyBorder="1" applyAlignment="1">
      <alignment horizontal="center"/>
    </xf>
    <xf numFmtId="0" fontId="0" fillId="0" borderId="0" xfId="0" quotePrefix="1" applyAlignment="1">
      <alignment horizontal="right" vertical="center"/>
    </xf>
    <xf numFmtId="0" fontId="0" fillId="0" borderId="0" xfId="0" applyAlignment="1">
      <alignment horizontal="right" vertical="center"/>
    </xf>
    <xf numFmtId="0" fontId="8" fillId="0" borderId="0" xfId="0" applyFont="1" applyAlignment="1">
      <alignment horizontal="center"/>
    </xf>
    <xf numFmtId="2" fontId="0" fillId="0" borderId="2" xfId="0" applyNumberFormat="1" applyBorder="1" applyAlignment="1">
      <alignment horizontal="right"/>
    </xf>
    <xf numFmtId="2" fontId="0" fillId="0" borderId="0" xfId="0" quotePrefix="1" applyNumberFormat="1" applyBorder="1" applyAlignment="1">
      <alignment horizontal="center" vertical="center"/>
    </xf>
    <xf numFmtId="2" fontId="0" fillId="0" borderId="0" xfId="0" quotePrefix="1" applyNumberFormat="1" applyAlignment="1">
      <alignment horizontal="center"/>
    </xf>
    <xf numFmtId="2" fontId="0" fillId="0" borderId="0" xfId="0" quotePrefix="1" applyNumberFormat="1" applyFill="1" applyBorder="1"/>
    <xf numFmtId="0" fontId="0" fillId="0" borderId="0" xfId="0" quotePrefix="1" applyFill="1" applyBorder="1"/>
    <xf numFmtId="2" fontId="20" fillId="0" borderId="0" xfId="0" applyNumberFormat="1" applyFont="1" applyAlignment="1">
      <alignment horizontal="right"/>
    </xf>
    <xf numFmtId="0" fontId="27" fillId="0" borderId="0" xfId="0" applyFont="1" applyBorder="1" applyAlignment="1">
      <alignment horizontal="right" vertical="top" wrapText="1"/>
    </xf>
    <xf numFmtId="0" fontId="13" fillId="0" borderId="0" xfId="0" applyFont="1" applyBorder="1" applyAlignment="1">
      <alignment horizontal="center" wrapText="1"/>
    </xf>
    <xf numFmtId="0" fontId="24" fillId="0" borderId="0" xfId="0" applyFont="1" applyAlignment="1">
      <alignment horizontal="center" wrapText="1"/>
    </xf>
    <xf numFmtId="0" fontId="20" fillId="0" borderId="0" xfId="0" applyFont="1" applyAlignment="1">
      <alignment horizontal="center" vertical="top" wrapText="1"/>
    </xf>
    <xf numFmtId="0" fontId="21" fillId="0" borderId="0" xfId="0" applyFont="1" applyAlignment="1">
      <alignment horizontal="center" vertical="center" wrapText="1"/>
    </xf>
    <xf numFmtId="0" fontId="20" fillId="0" borderId="0" xfId="0" applyFont="1" applyAlignment="1">
      <alignment horizontal="center" wrapText="1"/>
    </xf>
    <xf numFmtId="0" fontId="20" fillId="0" borderId="0" xfId="0" applyFont="1" applyBorder="1" applyAlignment="1">
      <alignment horizontal="center"/>
    </xf>
    <xf numFmtId="0" fontId="13" fillId="0" borderId="0" xfId="0" applyFont="1" applyAlignment="1">
      <alignment horizontal="center" vertical="center" wrapText="1"/>
    </xf>
    <xf numFmtId="0" fontId="21" fillId="0" borderId="0" xfId="0" applyFont="1" applyAlignment="1">
      <alignment horizontal="left" vertical="top" wrapText="1"/>
    </xf>
    <xf numFmtId="0" fontId="20" fillId="0" borderId="0" xfId="0" applyFont="1" applyAlignment="1">
      <alignment horizontal="justify" vertical="top" wrapText="1"/>
    </xf>
    <xf numFmtId="0" fontId="20" fillId="0" borderId="0" xfId="0" applyFont="1" applyAlignment="1">
      <alignment horizontal="left" vertical="top" wrapText="1"/>
    </xf>
    <xf numFmtId="0" fontId="28" fillId="0" borderId="0" xfId="0" applyFont="1" applyAlignment="1">
      <alignment horizontal="center" vertical="center" wrapText="1"/>
    </xf>
    <xf numFmtId="0" fontId="21" fillId="0" borderId="0" xfId="0" applyFont="1" applyAlignment="1">
      <alignment horizontal="center" wrapText="1"/>
    </xf>
    <xf numFmtId="0" fontId="20" fillId="0" borderId="0" xfId="0" applyFont="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horizontal="center" wrapText="1"/>
    </xf>
    <xf numFmtId="2" fontId="28" fillId="0" borderId="0" xfId="0" applyNumberFormat="1" applyFont="1" applyAlignment="1">
      <alignment horizontal="right"/>
    </xf>
    <xf numFmtId="2" fontId="20" fillId="0" borderId="0" xfId="0" applyNumberFormat="1" applyFont="1" applyAlignment="1">
      <alignment horizontal="right" vertical="center"/>
    </xf>
    <xf numFmtId="0" fontId="20"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xf>
    <xf numFmtId="0" fontId="28" fillId="0" borderId="0" xfId="0" applyFont="1" applyBorder="1" applyAlignment="1">
      <alignment horizontal="center"/>
    </xf>
    <xf numFmtId="0" fontId="20" fillId="0" borderId="2" xfId="0" applyFont="1" applyBorder="1" applyAlignment="1">
      <alignment horizontal="center"/>
    </xf>
    <xf numFmtId="0" fontId="28" fillId="0" borderId="0" xfId="0" applyFont="1" applyBorder="1" applyAlignment="1">
      <alignment horizontal="center" wrapText="1"/>
    </xf>
    <xf numFmtId="0" fontId="26" fillId="0" borderId="0" xfId="0" applyFont="1" applyFill="1" applyBorder="1" applyAlignment="1">
      <alignment horizontal="center" vertical="center"/>
    </xf>
    <xf numFmtId="0" fontId="20" fillId="0" borderId="0" xfId="0" quotePrefix="1" applyFont="1" applyAlignment="1">
      <alignment horizontal="left"/>
    </xf>
    <xf numFmtId="0" fontId="26" fillId="0" borderId="0" xfId="0" applyFont="1" applyFill="1" applyBorder="1" applyAlignment="1">
      <alignment horizontal="center" wrapText="1"/>
    </xf>
    <xf numFmtId="0" fontId="26"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21" fillId="0" borderId="0" xfId="0" applyFont="1" applyFill="1" applyBorder="1" applyAlignment="1">
      <alignment horizontal="center" wrapText="1"/>
    </xf>
    <xf numFmtId="0" fontId="13" fillId="0" borderId="0" xfId="0" applyFont="1" applyFill="1" applyBorder="1" applyAlignment="1">
      <alignment horizontal="center" vertical="center"/>
    </xf>
    <xf numFmtId="0" fontId="13" fillId="0" borderId="0" xfId="0" applyFont="1" applyAlignment="1">
      <alignment horizontal="center" wrapText="1"/>
    </xf>
    <xf numFmtId="0" fontId="11" fillId="0" borderId="0" xfId="0" applyFont="1" applyFill="1" applyBorder="1" applyAlignment="1">
      <alignment horizontal="center"/>
    </xf>
    <xf numFmtId="0" fontId="30" fillId="0" borderId="0" xfId="0" applyFont="1" applyAlignment="1">
      <alignment horizontal="center" vertical="center" wrapText="1"/>
    </xf>
    <xf numFmtId="0" fontId="27" fillId="0" borderId="0" xfId="0" applyFont="1" applyAlignment="1">
      <alignment horizontal="center" vertical="center"/>
    </xf>
    <xf numFmtId="0" fontId="20" fillId="0" borderId="0" xfId="0" applyFont="1" applyAlignment="1">
      <alignment horizontal="left" vertical="center" wrapText="1"/>
    </xf>
    <xf numFmtId="0" fontId="13" fillId="0" borderId="0" xfId="0" applyFont="1" applyAlignment="1">
      <alignment horizontal="center" vertical="top" wrapText="1"/>
    </xf>
    <xf numFmtId="0" fontId="18" fillId="0" borderId="0" xfId="0" applyFont="1" applyFill="1" applyBorder="1" applyAlignment="1">
      <alignment horizontal="left" vertical="center"/>
    </xf>
    <xf numFmtId="0" fontId="21" fillId="0" borderId="0" xfId="0" applyFont="1" applyAlignment="1">
      <alignment horizontal="center"/>
    </xf>
    <xf numFmtId="0" fontId="24"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center" vertical="top" wrapText="1"/>
    </xf>
    <xf numFmtId="0" fontId="58" fillId="0" borderId="0" xfId="0" applyFont="1" applyAlignment="1">
      <alignment horizontal="center"/>
    </xf>
    <xf numFmtId="0" fontId="59" fillId="0" borderId="0" xfId="0" applyFont="1" applyAlignment="1">
      <alignment horizontal="left" vertical="top" wrapText="1"/>
    </xf>
    <xf numFmtId="0" fontId="59" fillId="0" borderId="0" xfId="0" applyFont="1" applyBorder="1" applyAlignment="1">
      <alignment horizontal="center"/>
    </xf>
    <xf numFmtId="0" fontId="59" fillId="0" borderId="0" xfId="0" applyFont="1" applyAlignment="1">
      <alignment horizontal="center"/>
    </xf>
    <xf numFmtId="0" fontId="59" fillId="0" borderId="0" xfId="0" applyFont="1" applyBorder="1" applyAlignment="1">
      <alignment horizontal="center" vertical="top" wrapText="1"/>
    </xf>
    <xf numFmtId="0" fontId="21" fillId="0" borderId="0" xfId="0" applyFont="1" applyAlignment="1">
      <alignment horizontal="left"/>
    </xf>
    <xf numFmtId="0" fontId="21" fillId="0" borderId="0" xfId="0" quotePrefix="1" applyFont="1" applyAlignment="1">
      <alignment horizontal="left"/>
    </xf>
    <xf numFmtId="0" fontId="21" fillId="0" borderId="2" xfId="0" applyFont="1" applyBorder="1" applyAlignment="1">
      <alignment horizontal="center"/>
    </xf>
    <xf numFmtId="2" fontId="21" fillId="0" borderId="0" xfId="0" applyNumberFormat="1" applyFont="1" applyAlignment="1">
      <alignment horizontal="right"/>
    </xf>
    <xf numFmtId="0" fontId="24" fillId="0" borderId="0" xfId="0" applyFont="1" applyFill="1" applyBorder="1" applyAlignment="1">
      <alignment horizontal="left" vertical="center" wrapText="1"/>
    </xf>
    <xf numFmtId="0" fontId="24" fillId="0" borderId="0" xfId="0" applyFont="1" applyAlignment="1">
      <alignment horizontal="left" vertical="top" wrapText="1"/>
    </xf>
    <xf numFmtId="0" fontId="64" fillId="0" borderId="0" xfId="0" applyFont="1" applyFill="1" applyBorder="1" applyAlignment="1">
      <alignment horizontal="left" vertical="center"/>
    </xf>
    <xf numFmtId="0" fontId="21" fillId="0" borderId="0" xfId="0" applyFont="1" applyAlignment="1">
      <alignment horizontal="justify" vertical="top" wrapText="1"/>
    </xf>
    <xf numFmtId="0" fontId="21" fillId="0" borderId="0" xfId="0" applyFont="1" applyAlignment="1">
      <alignment horizontal="left" vertical="center" wrapText="1"/>
    </xf>
    <xf numFmtId="0" fontId="59" fillId="0" borderId="0" xfId="0" applyFont="1" applyAlignment="1">
      <alignment horizontal="left"/>
    </xf>
    <xf numFmtId="0" fontId="25" fillId="0" borderId="0" xfId="0" applyFont="1" applyAlignment="1">
      <alignment horizontal="center" vertical="center"/>
    </xf>
    <xf numFmtId="0" fontId="21" fillId="0" borderId="0" xfId="0" applyFont="1" applyAlignment="1">
      <alignment horizontal="left" vertical="top"/>
    </xf>
    <xf numFmtId="2" fontId="59" fillId="0" borderId="0" xfId="0" applyNumberFormat="1" applyFont="1" applyAlignment="1">
      <alignment horizontal="right" vertical="center"/>
    </xf>
    <xf numFmtId="0" fontId="61" fillId="0" borderId="0" xfId="0" applyFont="1" applyAlignment="1">
      <alignment horizontal="center" vertical="center" wrapText="1"/>
    </xf>
    <xf numFmtId="0" fontId="25" fillId="0" borderId="0" xfId="0" applyFont="1" applyAlignment="1">
      <alignment horizontal="center" vertical="top" wrapText="1"/>
    </xf>
    <xf numFmtId="0" fontId="56" fillId="0" borderId="0" xfId="0" applyFont="1" applyAlignment="1">
      <alignment horizontal="left"/>
    </xf>
    <xf numFmtId="0" fontId="24" fillId="0" borderId="0" xfId="0" applyFont="1" applyAlignment="1">
      <alignment horizontal="center" vertical="center" wrapText="1"/>
    </xf>
    <xf numFmtId="0" fontId="25" fillId="0" borderId="0" xfId="0" applyFont="1" applyBorder="1" applyAlignment="1">
      <alignment horizontal="right" vertical="top" wrapText="1"/>
    </xf>
    <xf numFmtId="0" fontId="24" fillId="0" borderId="0" xfId="0" applyFont="1" applyBorder="1" applyAlignment="1">
      <alignment horizontal="center" wrapText="1"/>
    </xf>
    <xf numFmtId="0" fontId="24" fillId="0" borderId="0" xfId="0" applyFont="1" applyAlignment="1">
      <alignment horizontal="center" vertical="center"/>
    </xf>
    <xf numFmtId="0" fontId="59" fillId="0" borderId="0" xfId="0" applyFont="1" applyBorder="1" applyAlignment="1">
      <alignment horizontal="center" vertical="center"/>
    </xf>
    <xf numFmtId="2" fontId="59" fillId="0" borderId="0" xfId="0" applyNumberFormat="1" applyFont="1" applyAlignment="1">
      <alignment horizontal="right"/>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7" fillId="0" borderId="0" xfId="0" applyFont="1" applyAlignment="1">
      <alignment horizontal="center" vertical="center" wrapText="1"/>
    </xf>
    <xf numFmtId="0" fontId="13" fillId="0" borderId="0" xfId="0" applyFont="1" applyAlignment="1">
      <alignment horizontal="left" vertical="center" wrapText="1"/>
    </xf>
    <xf numFmtId="0" fontId="20" fillId="0" borderId="0" xfId="0" applyFont="1" applyAlignment="1">
      <alignment vertical="top" wrapText="1"/>
    </xf>
    <xf numFmtId="2" fontId="17" fillId="0" borderId="0" xfId="0" applyNumberFormat="1" applyFont="1" applyBorder="1" applyAlignment="1">
      <alignment horizontal="right" vertical="center"/>
    </xf>
    <xf numFmtId="0" fontId="17" fillId="0" borderId="0" xfId="0" applyFont="1" applyBorder="1" applyAlignment="1">
      <alignment horizontal="left" vertical="center"/>
    </xf>
    <xf numFmtId="0" fontId="28" fillId="0" borderId="0" xfId="0" applyFont="1" applyAlignment="1">
      <alignment horizontal="center" wrapText="1"/>
    </xf>
    <xf numFmtId="0" fontId="13" fillId="0" borderId="0" xfId="0" applyFont="1" applyAlignment="1">
      <alignment horizontal="center"/>
    </xf>
    <xf numFmtId="0" fontId="13" fillId="0" borderId="0" xfId="0" applyFont="1" applyAlignment="1">
      <alignment horizontal="left" vertical="top" wrapText="1"/>
    </xf>
    <xf numFmtId="0" fontId="20" fillId="0" borderId="0" xfId="0" applyFont="1" applyBorder="1" applyAlignment="1">
      <alignment horizontal="left" vertical="top" wrapText="1"/>
    </xf>
    <xf numFmtId="0" fontId="13" fillId="0" borderId="0" xfId="0" applyFont="1" applyBorder="1" applyAlignment="1">
      <alignment horizont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13" fillId="0" borderId="12"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0" xfId="0" applyFont="1" applyFill="1" applyBorder="1" applyAlignment="1">
      <alignment horizontal="right" vertical="center"/>
    </xf>
    <xf numFmtId="2" fontId="43" fillId="0" borderId="17" xfId="0" applyNumberFormat="1" applyFont="1" applyBorder="1" applyAlignment="1">
      <alignment horizontal="center" vertical="center"/>
    </xf>
    <xf numFmtId="2" fontId="43" fillId="0" borderId="20" xfId="0" applyNumberFormat="1" applyFont="1" applyBorder="1" applyAlignment="1">
      <alignment horizontal="center" vertical="center"/>
    </xf>
    <xf numFmtId="0" fontId="43" fillId="0" borderId="18" xfId="0" applyFont="1" applyBorder="1" applyAlignment="1">
      <alignment horizontal="center" vertical="center"/>
    </xf>
    <xf numFmtId="0" fontId="43" fillId="0" borderId="21" xfId="0" applyFont="1" applyBorder="1" applyAlignment="1">
      <alignment horizontal="center" vertical="center"/>
    </xf>
    <xf numFmtId="0" fontId="43" fillId="0" borderId="17" xfId="0" applyFont="1" applyBorder="1" applyAlignment="1">
      <alignment horizontal="left" vertical="center"/>
    </xf>
    <xf numFmtId="0" fontId="43" fillId="0" borderId="2" xfId="0" applyFont="1" applyBorder="1" applyAlignment="1">
      <alignment horizontal="left" vertical="center"/>
    </xf>
    <xf numFmtId="0" fontId="43" fillId="0" borderId="18" xfId="0" applyFont="1" applyBorder="1" applyAlignment="1">
      <alignment horizontal="left" vertical="center"/>
    </xf>
    <xf numFmtId="0" fontId="43" fillId="0" borderId="20" xfId="0" applyFont="1" applyBorder="1" applyAlignment="1">
      <alignment horizontal="left" vertical="center"/>
    </xf>
    <xf numFmtId="0" fontId="43" fillId="0" borderId="1" xfId="0" applyFont="1" applyBorder="1" applyAlignment="1">
      <alignment horizontal="left" vertical="center"/>
    </xf>
    <xf numFmtId="0" fontId="43" fillId="0" borderId="21" xfId="0" applyFont="1" applyBorder="1" applyAlignment="1">
      <alignment horizontal="left" vertical="center"/>
    </xf>
    <xf numFmtId="2" fontId="43" fillId="0" borderId="18" xfId="0" applyNumberFormat="1" applyFont="1" applyBorder="1" applyAlignment="1">
      <alignment horizontal="center" vertical="center"/>
    </xf>
    <xf numFmtId="2" fontId="43" fillId="0" borderId="21" xfId="0" applyNumberFormat="1" applyFont="1" applyBorder="1" applyAlignment="1">
      <alignment horizontal="center" vertical="center"/>
    </xf>
    <xf numFmtId="0" fontId="43" fillId="0" borderId="17" xfId="0" applyFont="1" applyBorder="1" applyAlignment="1">
      <alignment horizontal="center" vertical="center"/>
    </xf>
    <xf numFmtId="0" fontId="43" fillId="0" borderId="20" xfId="0" applyFont="1" applyBorder="1" applyAlignment="1">
      <alignment horizontal="center" vertical="center"/>
    </xf>
    <xf numFmtId="2" fontId="43" fillId="0" borderId="2" xfId="0" applyNumberFormat="1" applyFont="1" applyBorder="1" applyAlignment="1">
      <alignment horizontal="center" vertical="center"/>
    </xf>
    <xf numFmtId="2" fontId="43" fillId="0" borderId="1" xfId="0" applyNumberFormat="1" applyFont="1" applyBorder="1" applyAlignment="1">
      <alignment horizontal="center" vertical="center"/>
    </xf>
    <xf numFmtId="0" fontId="43" fillId="0" borderId="2" xfId="0" applyFont="1" applyBorder="1" applyAlignment="1">
      <alignment horizontal="center" vertical="center"/>
    </xf>
    <xf numFmtId="0" fontId="43" fillId="0" borderId="1" xfId="0" applyFont="1" applyBorder="1" applyAlignment="1">
      <alignment horizontal="center" vertical="center"/>
    </xf>
    <xf numFmtId="0" fontId="42" fillId="0" borderId="0" xfId="0" applyFont="1" applyAlignment="1">
      <alignment horizont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17" xfId="0" applyFont="1" applyBorder="1" applyAlignment="1">
      <alignment horizontal="center"/>
    </xf>
    <xf numFmtId="0" fontId="43" fillId="0" borderId="2" xfId="0" applyFont="1" applyBorder="1" applyAlignment="1">
      <alignment horizontal="center"/>
    </xf>
    <xf numFmtId="0" fontId="43" fillId="0" borderId="18" xfId="0" applyFont="1" applyBorder="1" applyAlignment="1">
      <alignment horizontal="center"/>
    </xf>
    <xf numFmtId="0" fontId="43" fillId="0" borderId="20" xfId="0" applyFont="1" applyBorder="1" applyAlignment="1">
      <alignment horizontal="center"/>
    </xf>
    <xf numFmtId="0" fontId="43" fillId="0" borderId="1" xfId="0" applyFont="1" applyBorder="1" applyAlignment="1">
      <alignment horizontal="center"/>
    </xf>
    <xf numFmtId="0" fontId="43" fillId="0" borderId="21" xfId="0" applyFont="1" applyBorder="1" applyAlignment="1">
      <alignment horizontal="center"/>
    </xf>
    <xf numFmtId="0" fontId="43" fillId="0" borderId="23" xfId="0" quotePrefix="1" applyFont="1" applyBorder="1" applyAlignment="1">
      <alignment horizontal="center" vertical="center"/>
    </xf>
    <xf numFmtId="0" fontId="43" fillId="0" borderId="24" xfId="0" quotePrefix="1" applyFont="1" applyBorder="1" applyAlignment="1">
      <alignment horizontal="center" vertical="center"/>
    </xf>
    <xf numFmtId="2" fontId="43" fillId="0" borderId="17" xfId="0" applyNumberFormat="1" applyFont="1" applyBorder="1" applyAlignment="1">
      <alignment horizontal="right" vertical="center"/>
    </xf>
    <xf numFmtId="2" fontId="43" fillId="0" borderId="2" xfId="0" applyNumberFormat="1" applyFont="1" applyBorder="1" applyAlignment="1">
      <alignment horizontal="right" vertical="center"/>
    </xf>
    <xf numFmtId="2" fontId="43" fillId="0" borderId="20" xfId="0" applyNumberFormat="1" applyFont="1" applyBorder="1" applyAlignment="1">
      <alignment horizontal="right" vertical="center"/>
    </xf>
    <xf numFmtId="2" fontId="43" fillId="0" borderId="1" xfId="0" applyNumberFormat="1" applyFont="1" applyBorder="1" applyAlignment="1">
      <alignment horizontal="right" vertical="center"/>
    </xf>
    <xf numFmtId="0" fontId="48" fillId="0" borderId="0" xfId="0" applyFont="1" applyAlignment="1">
      <alignment horizontal="center"/>
    </xf>
    <xf numFmtId="0" fontId="43" fillId="0" borderId="23" xfId="0" applyFont="1" applyBorder="1" applyAlignment="1">
      <alignment horizontal="left" vertical="center"/>
    </xf>
    <xf numFmtId="0" fontId="43" fillId="0" borderId="24" xfId="0" applyFont="1" applyBorder="1" applyAlignment="1">
      <alignment horizontal="left" vertical="center"/>
    </xf>
  </cellXfs>
  <cellStyles count="3">
    <cellStyle name="Comma" xfId="1" builtinId="3"/>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V770"/>
  <sheetViews>
    <sheetView workbookViewId="0">
      <selection activeCell="A163" sqref="A163"/>
    </sheetView>
  </sheetViews>
  <sheetFormatPr defaultRowHeight="12.75"/>
  <cols>
    <col min="1" max="1" width="8.7109375" customWidth="1"/>
    <col min="2" max="2" width="9.7109375" customWidth="1"/>
    <col min="3" max="3" width="2.140625" customWidth="1"/>
    <col min="4" max="4" width="1.85546875" customWidth="1"/>
    <col min="5" max="5" width="1.7109375" customWidth="1"/>
    <col min="6" max="6" width="5.140625" customWidth="1"/>
    <col min="7" max="7" width="1.85546875" customWidth="1"/>
    <col min="8" max="8" width="5.42578125" customWidth="1"/>
    <col min="9" max="9" width="1.85546875" customWidth="1"/>
    <col min="10" max="10" width="5.7109375" customWidth="1"/>
    <col min="11" max="11" width="2" customWidth="1"/>
    <col min="12" max="12" width="5.7109375" customWidth="1"/>
    <col min="13" max="13" width="1.85546875" customWidth="1"/>
    <col min="14" max="14" width="5.42578125" customWidth="1"/>
    <col min="15" max="15" width="2.140625" customWidth="1"/>
    <col min="17" max="17" width="3.5703125" customWidth="1"/>
    <col min="18" max="18" width="4.140625" customWidth="1"/>
    <col min="19" max="19" width="3" customWidth="1"/>
    <col min="20" max="20" width="12.7109375" customWidth="1"/>
    <col min="21" max="21" width="12.28515625" customWidth="1"/>
    <col min="23" max="23" width="12.28515625" customWidth="1"/>
  </cols>
  <sheetData>
    <row r="1" spans="1:20">
      <c r="P1" s="3" t="s">
        <v>329</v>
      </c>
    </row>
    <row r="2" spans="1:20">
      <c r="P2" s="3"/>
    </row>
    <row r="3" spans="1:20" ht="15" customHeight="1">
      <c r="A3" s="914" t="s">
        <v>330</v>
      </c>
      <c r="B3" s="914"/>
      <c r="C3" s="914"/>
      <c r="D3" s="914"/>
      <c r="E3" s="914"/>
      <c r="F3" s="914"/>
      <c r="G3" s="914"/>
      <c r="H3" s="914"/>
      <c r="I3" s="914"/>
      <c r="J3" s="914"/>
      <c r="K3" s="914"/>
      <c r="L3" s="914"/>
      <c r="M3" s="914"/>
      <c r="N3" s="914"/>
      <c r="O3" s="914"/>
      <c r="P3" s="914"/>
      <c r="Q3" s="914"/>
      <c r="R3" s="914"/>
      <c r="S3" s="914"/>
      <c r="T3" s="914"/>
    </row>
    <row r="4" spans="1:20" ht="12.75" customHeight="1">
      <c r="A4" s="117"/>
      <c r="B4" s="117"/>
      <c r="C4" s="117"/>
      <c r="D4" s="117"/>
      <c r="E4" s="117"/>
      <c r="F4" s="117"/>
      <c r="G4" s="117"/>
      <c r="H4" s="117"/>
      <c r="I4" s="117"/>
      <c r="J4" s="117"/>
      <c r="K4" s="117"/>
      <c r="L4" s="117"/>
      <c r="M4" s="117"/>
      <c r="N4" s="117"/>
      <c r="O4" s="117"/>
      <c r="P4" s="117"/>
      <c r="Q4" s="117"/>
      <c r="R4" s="117"/>
      <c r="S4" s="117"/>
      <c r="T4" s="117"/>
    </row>
    <row r="5" spans="1:20" ht="12.75" customHeight="1">
      <c r="A5" s="117"/>
      <c r="B5" s="914" t="s">
        <v>266</v>
      </c>
      <c r="C5" s="914"/>
      <c r="D5" s="914"/>
      <c r="E5" s="914"/>
      <c r="F5" s="914"/>
      <c r="G5" s="914"/>
      <c r="H5" s="914"/>
      <c r="I5" s="914"/>
      <c r="J5" s="914"/>
      <c r="K5" s="914"/>
      <c r="L5" s="914"/>
      <c r="M5" s="914"/>
      <c r="N5" s="914"/>
      <c r="O5" s="914"/>
      <c r="P5" s="914"/>
      <c r="Q5" s="914"/>
      <c r="R5" s="914"/>
      <c r="S5" s="914"/>
      <c r="T5" s="117"/>
    </row>
    <row r="6" spans="1:20" ht="12.75" customHeight="1">
      <c r="A6" s="59"/>
      <c r="B6" s="59"/>
      <c r="C6" s="59"/>
      <c r="D6" s="59"/>
      <c r="E6" s="59"/>
      <c r="F6" s="59"/>
      <c r="G6" s="117"/>
      <c r="H6" s="117"/>
      <c r="I6" s="117"/>
      <c r="J6" s="117"/>
      <c r="K6" s="109"/>
      <c r="L6" s="109"/>
      <c r="M6" s="117"/>
      <c r="N6" s="117"/>
      <c r="O6" s="117"/>
      <c r="P6" s="117"/>
      <c r="Q6" s="59"/>
      <c r="R6" s="59"/>
      <c r="S6" s="59"/>
      <c r="T6" s="59"/>
    </row>
    <row r="7" spans="1:20" ht="41.25" customHeight="1">
      <c r="B7" s="951" t="s">
        <v>267</v>
      </c>
      <c r="C7" s="951"/>
      <c r="D7" s="951"/>
      <c r="E7" s="951"/>
      <c r="F7" s="951"/>
      <c r="G7" s="951"/>
      <c r="H7" s="951"/>
      <c r="I7" s="951"/>
      <c r="J7" s="951"/>
      <c r="K7" s="951"/>
      <c r="L7" s="951"/>
      <c r="M7" s="951"/>
      <c r="N7" s="951"/>
      <c r="O7" s="951"/>
      <c r="P7" s="951"/>
      <c r="Q7" s="951"/>
      <c r="R7" s="951"/>
      <c r="S7" s="951"/>
    </row>
    <row r="9" spans="1:20" ht="55.5" customHeight="1">
      <c r="A9" s="95" t="s">
        <v>278</v>
      </c>
      <c r="B9" s="936" t="s">
        <v>279</v>
      </c>
      <c r="C9" s="936"/>
      <c r="D9" s="936"/>
      <c r="E9" s="936"/>
      <c r="F9" s="936"/>
      <c r="G9" s="936"/>
      <c r="H9" s="936"/>
      <c r="I9" s="936"/>
      <c r="J9" s="936"/>
      <c r="K9" s="936"/>
      <c r="L9" s="936"/>
      <c r="M9" s="936"/>
      <c r="N9" s="936"/>
      <c r="O9" s="936"/>
      <c r="P9" s="936"/>
      <c r="Q9" s="936"/>
    </row>
    <row r="10" spans="1:20" ht="12.75" customHeight="1">
      <c r="A10" s="52"/>
      <c r="B10" s="908" t="s">
        <v>47</v>
      </c>
      <c r="C10" s="908"/>
      <c r="D10" s="908"/>
      <c r="E10" s="908"/>
      <c r="F10" s="908"/>
      <c r="G10" s="908"/>
      <c r="H10" s="908"/>
      <c r="I10" s="908"/>
      <c r="J10" s="908"/>
      <c r="K10" s="908"/>
      <c r="L10" s="908"/>
      <c r="M10" s="908"/>
      <c r="N10" s="908"/>
      <c r="O10" s="908"/>
      <c r="P10" s="908"/>
      <c r="Q10" s="908"/>
    </row>
    <row r="11" spans="1:20" ht="12.75" customHeight="1">
      <c r="A11" s="42"/>
      <c r="B11" s="908" t="s">
        <v>31</v>
      </c>
      <c r="C11" s="908"/>
      <c r="D11" s="908"/>
      <c r="E11" s="908"/>
      <c r="F11" s="908"/>
      <c r="G11" s="908"/>
      <c r="H11" s="908"/>
      <c r="I11" s="908"/>
      <c r="J11" s="908"/>
      <c r="K11" s="908"/>
      <c r="L11" s="908"/>
      <c r="M11" s="908"/>
      <c r="N11" s="908"/>
      <c r="O11" s="908"/>
      <c r="P11" s="908"/>
      <c r="Q11" s="908"/>
    </row>
    <row r="12" spans="1:20" ht="12.75" customHeight="1">
      <c r="A12" s="42"/>
      <c r="B12" s="97" t="s">
        <v>274</v>
      </c>
      <c r="C12" s="92"/>
      <c r="D12" s="92"/>
      <c r="E12" s="92"/>
      <c r="F12" s="92"/>
      <c r="G12" s="92"/>
      <c r="H12" s="92"/>
      <c r="I12" s="92"/>
      <c r="J12" s="92"/>
      <c r="K12" s="92"/>
      <c r="L12" s="92"/>
      <c r="M12" s="92"/>
      <c r="N12" s="92"/>
      <c r="O12" s="92"/>
      <c r="P12" s="92"/>
      <c r="Q12" s="92"/>
    </row>
    <row r="13" spans="1:20">
      <c r="B13" s="5" t="s">
        <v>3</v>
      </c>
      <c r="C13" s="29" t="s">
        <v>0</v>
      </c>
      <c r="D13" s="20">
        <v>1</v>
      </c>
      <c r="E13" s="20" t="s">
        <v>1</v>
      </c>
      <c r="F13" s="7">
        <v>3</v>
      </c>
      <c r="G13" s="20" t="s">
        <v>1</v>
      </c>
      <c r="H13" s="7">
        <v>1.6</v>
      </c>
      <c r="I13" s="20" t="s">
        <v>1</v>
      </c>
      <c r="J13" s="7">
        <v>2.95</v>
      </c>
      <c r="K13" s="20"/>
      <c r="L13" s="20"/>
      <c r="M13" s="20"/>
      <c r="N13" s="20"/>
      <c r="O13" s="29" t="s">
        <v>0</v>
      </c>
      <c r="P13" s="2">
        <f>D13*F13*H13*J13</f>
        <v>14.160000000000004</v>
      </c>
      <c r="Q13" t="s">
        <v>272</v>
      </c>
    </row>
    <row r="14" spans="1:20">
      <c r="B14" s="949" t="s">
        <v>2</v>
      </c>
      <c r="C14" s="903" t="s">
        <v>0</v>
      </c>
      <c r="D14" s="892">
        <v>1</v>
      </c>
      <c r="E14" s="892" t="s">
        <v>1</v>
      </c>
      <c r="F14" s="893">
        <v>5.8</v>
      </c>
      <c r="G14" s="892" t="s">
        <v>1</v>
      </c>
      <c r="H14" s="893">
        <v>1.9</v>
      </c>
      <c r="I14" s="892" t="s">
        <v>1</v>
      </c>
      <c r="J14" s="31">
        <v>2.7</v>
      </c>
      <c r="K14" s="32" t="s">
        <v>14</v>
      </c>
      <c r="L14" s="31">
        <v>3.9</v>
      </c>
      <c r="M14" s="20"/>
      <c r="N14" s="7"/>
      <c r="O14" s="903" t="s">
        <v>0</v>
      </c>
      <c r="P14" s="953">
        <f>((D14*F14*H14*(J14+L14)/2))</f>
        <v>36.366</v>
      </c>
      <c r="Q14" s="915" t="s">
        <v>275</v>
      </c>
    </row>
    <row r="15" spans="1:20">
      <c r="B15" s="949"/>
      <c r="C15" s="903"/>
      <c r="D15" s="892"/>
      <c r="E15" s="892"/>
      <c r="F15" s="893"/>
      <c r="G15" s="892"/>
      <c r="H15" s="893"/>
      <c r="I15" s="892"/>
      <c r="J15" s="7"/>
      <c r="K15" s="29">
        <v>2</v>
      </c>
      <c r="L15" s="20"/>
      <c r="M15" s="20"/>
      <c r="N15" s="7"/>
      <c r="O15" s="903"/>
      <c r="P15" s="953"/>
      <c r="Q15" s="915"/>
    </row>
    <row r="16" spans="1:20">
      <c r="B16" s="6" t="s">
        <v>4</v>
      </c>
      <c r="C16" s="29" t="s">
        <v>0</v>
      </c>
      <c r="D16" s="20">
        <v>1</v>
      </c>
      <c r="E16" s="20" t="s">
        <v>1</v>
      </c>
      <c r="F16" s="7">
        <v>1.65</v>
      </c>
      <c r="G16" s="20" t="s">
        <v>1</v>
      </c>
      <c r="H16" s="7">
        <v>2.1</v>
      </c>
      <c r="I16" s="20" t="s">
        <v>1</v>
      </c>
      <c r="J16" s="7">
        <v>2.13</v>
      </c>
      <c r="K16" s="20"/>
      <c r="L16" s="20"/>
      <c r="M16" s="20"/>
      <c r="N16" s="7"/>
      <c r="O16" s="29" t="s">
        <v>0</v>
      </c>
      <c r="P16" s="2">
        <f>D16*F16*H16*J16</f>
        <v>7.3804499999999997</v>
      </c>
      <c r="Q16" t="s">
        <v>272</v>
      </c>
    </row>
    <row r="17" spans="1:21">
      <c r="B17" s="6" t="s">
        <v>5</v>
      </c>
      <c r="C17" s="152" t="s">
        <v>0</v>
      </c>
      <c r="D17" s="150">
        <v>1</v>
      </c>
      <c r="E17" s="150" t="s">
        <v>1</v>
      </c>
      <c r="F17" s="149">
        <v>6.86</v>
      </c>
      <c r="G17" s="150" t="s">
        <v>1</v>
      </c>
      <c r="H17" s="149">
        <v>1.8</v>
      </c>
      <c r="I17" s="150" t="s">
        <v>1</v>
      </c>
      <c r="J17" s="149">
        <v>2.13</v>
      </c>
      <c r="K17" s="20"/>
      <c r="L17" s="20"/>
      <c r="M17" s="20"/>
      <c r="N17" s="7"/>
      <c r="O17" s="29" t="s">
        <v>0</v>
      </c>
      <c r="P17" s="2">
        <f>D17*F17*H17*J17</f>
        <v>26.30124</v>
      </c>
      <c r="Q17" t="s">
        <v>272</v>
      </c>
    </row>
    <row r="18" spans="1:21">
      <c r="B18" s="6" t="s">
        <v>6</v>
      </c>
      <c r="C18" s="29" t="s">
        <v>0</v>
      </c>
      <c r="D18" s="20">
        <v>1</v>
      </c>
      <c r="E18" s="20" t="s">
        <v>1</v>
      </c>
      <c r="F18" s="7">
        <v>3</v>
      </c>
      <c r="G18" s="20" t="s">
        <v>1</v>
      </c>
      <c r="H18" s="7">
        <v>2.5</v>
      </c>
      <c r="I18" s="20" t="s">
        <v>1</v>
      </c>
      <c r="J18" s="7">
        <v>0.25</v>
      </c>
      <c r="K18" s="33"/>
      <c r="L18" s="33"/>
      <c r="M18" s="30"/>
      <c r="N18" s="31"/>
      <c r="O18" s="32" t="s">
        <v>0</v>
      </c>
      <c r="P18" s="12">
        <f>D18*F18*H18*J18</f>
        <v>1.875</v>
      </c>
      <c r="Q18" s="13" t="s">
        <v>272</v>
      </c>
    </row>
    <row r="19" spans="1:21">
      <c r="C19" s="1"/>
      <c r="F19" s="2"/>
      <c r="H19" s="2"/>
      <c r="I19" s="1"/>
      <c r="J19" s="2"/>
      <c r="N19" s="7" t="s">
        <v>8</v>
      </c>
      <c r="O19" s="1" t="s">
        <v>0</v>
      </c>
      <c r="P19" s="2">
        <f>SUM(P13:P18)</f>
        <v>86.082690000000014</v>
      </c>
      <c r="Q19" t="s">
        <v>272</v>
      </c>
    </row>
    <row r="20" spans="1:21">
      <c r="B20" s="43"/>
      <c r="C20" s="1"/>
      <c r="F20" s="2"/>
      <c r="H20" s="7"/>
      <c r="I20" s="7"/>
      <c r="J20" s="153" t="s">
        <v>332</v>
      </c>
      <c r="K20" s="891">
        <v>56</v>
      </c>
      <c r="L20" s="891"/>
      <c r="M20" s="891"/>
      <c r="N20" s="906" t="s">
        <v>273</v>
      </c>
      <c r="O20" s="907"/>
      <c r="P20" s="2"/>
      <c r="R20" s="29" t="s">
        <v>0</v>
      </c>
      <c r="S20" s="16" t="s">
        <v>11</v>
      </c>
      <c r="T20" s="11">
        <f>ROUND(P19*K20,2)</f>
        <v>4820.63</v>
      </c>
    </row>
    <row r="21" spans="1:21">
      <c r="B21" s="43"/>
      <c r="C21" s="1"/>
      <c r="F21" s="2"/>
      <c r="H21" s="7"/>
      <c r="I21" s="7"/>
      <c r="J21" s="8"/>
      <c r="K21" s="8"/>
      <c r="L21" s="17"/>
      <c r="M21" s="17"/>
      <c r="N21" s="9"/>
      <c r="O21" s="10"/>
      <c r="P21" s="2"/>
      <c r="R21" s="29"/>
      <c r="S21" s="16"/>
      <c r="T21" s="11"/>
    </row>
    <row r="22" spans="1:21">
      <c r="B22" s="43"/>
      <c r="C22" s="1"/>
      <c r="F22" s="2"/>
      <c r="H22" s="7"/>
      <c r="I22" s="7"/>
      <c r="J22" s="8"/>
      <c r="K22" s="8"/>
      <c r="L22" s="17"/>
      <c r="M22" s="17"/>
      <c r="N22" s="9"/>
      <c r="O22" s="10"/>
      <c r="P22" s="2"/>
      <c r="R22" s="29"/>
      <c r="S22" s="16"/>
      <c r="T22" s="11"/>
    </row>
    <row r="23" spans="1:21">
      <c r="C23" s="1"/>
      <c r="F23" s="2"/>
      <c r="P23" s="2"/>
      <c r="U23" s="11"/>
    </row>
    <row r="24" spans="1:21" ht="27" customHeight="1">
      <c r="A24" s="95" t="s">
        <v>280</v>
      </c>
      <c r="B24" s="908" t="s">
        <v>33</v>
      </c>
      <c r="C24" s="908"/>
      <c r="D24" s="908"/>
      <c r="E24" s="908"/>
      <c r="F24" s="908"/>
      <c r="G24" s="908"/>
      <c r="H24" s="908"/>
      <c r="I24" s="908"/>
      <c r="J24" s="908"/>
      <c r="K24" s="908"/>
      <c r="L24" s="908"/>
      <c r="M24" s="908"/>
      <c r="N24" s="908"/>
      <c r="O24" s="908"/>
      <c r="P24" s="908"/>
      <c r="Q24" s="908"/>
    </row>
    <row r="25" spans="1:21">
      <c r="B25" s="5"/>
      <c r="C25" s="29"/>
      <c r="D25" s="20"/>
      <c r="E25" s="20"/>
      <c r="F25" s="7"/>
      <c r="G25" s="20"/>
      <c r="H25" s="7"/>
      <c r="I25" s="20"/>
      <c r="J25" s="7"/>
      <c r="K25" s="20"/>
      <c r="L25" s="20"/>
      <c r="M25" s="20"/>
      <c r="N25" s="20"/>
      <c r="O25" s="29"/>
      <c r="P25" s="2"/>
    </row>
    <row r="26" spans="1:21" ht="14.25" customHeight="1">
      <c r="B26" s="899" t="s">
        <v>5</v>
      </c>
      <c r="C26" s="900" t="s">
        <v>0</v>
      </c>
      <c r="D26" s="901">
        <v>1</v>
      </c>
      <c r="E26" s="901" t="s">
        <v>1</v>
      </c>
      <c r="F26" s="147">
        <v>7.86</v>
      </c>
      <c r="G26" s="148" t="s">
        <v>14</v>
      </c>
      <c r="H26" s="147">
        <v>7.74</v>
      </c>
      <c r="I26" s="901" t="s">
        <v>1</v>
      </c>
      <c r="J26" s="916">
        <v>1.8</v>
      </c>
      <c r="K26" s="901" t="s">
        <v>1</v>
      </c>
      <c r="L26" s="916">
        <v>0.25</v>
      </c>
      <c r="M26" s="33"/>
      <c r="N26" s="34"/>
      <c r="O26" s="937" t="s">
        <v>0</v>
      </c>
      <c r="P26" s="939">
        <f>ROUND((L26*J26*D26)*(F26+H26)/2,2)</f>
        <v>3.51</v>
      </c>
      <c r="Q26" s="915" t="s">
        <v>275</v>
      </c>
    </row>
    <row r="27" spans="1:21">
      <c r="B27" s="899"/>
      <c r="C27" s="900"/>
      <c r="D27" s="901"/>
      <c r="E27" s="901"/>
      <c r="F27" s="151"/>
      <c r="G27" s="151">
        <v>2</v>
      </c>
      <c r="H27" s="151"/>
      <c r="I27" s="901"/>
      <c r="J27" s="916"/>
      <c r="K27" s="901"/>
      <c r="L27" s="916"/>
      <c r="O27" s="937"/>
      <c r="P27" s="939"/>
      <c r="Q27" s="915"/>
    </row>
    <row r="28" spans="1:21">
      <c r="B28" s="6" t="s">
        <v>4</v>
      </c>
      <c r="C28" s="29" t="s">
        <v>0</v>
      </c>
      <c r="D28" s="20">
        <v>1</v>
      </c>
      <c r="E28" s="20" t="s">
        <v>1</v>
      </c>
      <c r="F28" s="7">
        <v>1.2</v>
      </c>
      <c r="G28" s="20" t="s">
        <v>1</v>
      </c>
      <c r="H28" s="7">
        <v>1.2</v>
      </c>
      <c r="I28" s="20" t="s">
        <v>1</v>
      </c>
      <c r="J28" s="7">
        <v>0.25</v>
      </c>
      <c r="K28" s="33"/>
      <c r="L28" s="33"/>
      <c r="M28" s="33"/>
      <c r="N28" s="34"/>
      <c r="O28" s="35" t="s">
        <v>0</v>
      </c>
      <c r="P28" s="19">
        <f>ROUND(D28*F28*H28*J28,2)</f>
        <v>0.36</v>
      </c>
      <c r="Q28" t="s">
        <v>272</v>
      </c>
    </row>
    <row r="29" spans="1:21">
      <c r="B29" s="6" t="s">
        <v>6</v>
      </c>
      <c r="C29" s="29" t="s">
        <v>0</v>
      </c>
      <c r="D29" s="20">
        <v>1</v>
      </c>
      <c r="E29" s="20" t="s">
        <v>1</v>
      </c>
      <c r="F29" s="7">
        <v>2.5</v>
      </c>
      <c r="G29" s="20" t="s">
        <v>1</v>
      </c>
      <c r="H29" s="7">
        <v>3</v>
      </c>
      <c r="I29" s="20" t="s">
        <v>1</v>
      </c>
      <c r="J29" s="7">
        <v>0.25</v>
      </c>
      <c r="K29" s="33"/>
      <c r="L29" s="33"/>
      <c r="M29" s="30"/>
      <c r="N29" s="31"/>
      <c r="O29" s="32" t="s">
        <v>0</v>
      </c>
      <c r="P29" s="12">
        <f>ROUND(D29*F29*H29*J29,2)</f>
        <v>1.88</v>
      </c>
      <c r="Q29" s="13" t="s">
        <v>272</v>
      </c>
    </row>
    <row r="30" spans="1:21">
      <c r="N30" s="7" t="s">
        <v>8</v>
      </c>
      <c r="O30" s="1" t="s">
        <v>0</v>
      </c>
      <c r="P30" s="2">
        <f>SUM(P25:P29)</f>
        <v>5.75</v>
      </c>
      <c r="Q30" t="s">
        <v>272</v>
      </c>
    </row>
    <row r="31" spans="1:21">
      <c r="J31" s="153" t="s">
        <v>332</v>
      </c>
      <c r="K31" s="891">
        <v>705</v>
      </c>
      <c r="L31" s="891"/>
      <c r="M31" s="891"/>
      <c r="N31" s="906" t="s">
        <v>273</v>
      </c>
      <c r="O31" s="907"/>
      <c r="P31" s="2"/>
      <c r="R31" s="29" t="s">
        <v>0</v>
      </c>
      <c r="S31" s="16" t="s">
        <v>11</v>
      </c>
      <c r="T31" s="11">
        <f>ROUND(P30*K31,2)</f>
        <v>4053.75</v>
      </c>
    </row>
    <row r="32" spans="1:21">
      <c r="H32" s="8"/>
      <c r="I32" s="8"/>
      <c r="L32" s="17"/>
      <c r="M32" s="17"/>
      <c r="N32" s="9"/>
      <c r="O32" s="10"/>
      <c r="P32" s="2"/>
      <c r="T32" s="11"/>
    </row>
    <row r="33" spans="1:20">
      <c r="H33" s="8"/>
      <c r="I33" s="8"/>
      <c r="L33" s="17"/>
      <c r="M33" s="17"/>
      <c r="N33" s="9"/>
      <c r="O33" s="10"/>
      <c r="P33" s="2"/>
      <c r="T33" s="11"/>
    </row>
    <row r="34" spans="1:20">
      <c r="H34" s="8"/>
      <c r="I34" s="8"/>
      <c r="L34" s="17"/>
      <c r="M34" s="17"/>
      <c r="N34" s="9"/>
      <c r="O34" s="10"/>
      <c r="P34" s="2"/>
      <c r="T34" s="11"/>
    </row>
    <row r="35" spans="1:20" ht="42" customHeight="1">
      <c r="A35" s="95" t="s">
        <v>281</v>
      </c>
      <c r="B35" s="936" t="s">
        <v>284</v>
      </c>
      <c r="C35" s="936"/>
      <c r="D35" s="936"/>
      <c r="E35" s="936"/>
      <c r="F35" s="936"/>
      <c r="G35" s="936"/>
      <c r="H35" s="936"/>
      <c r="I35" s="936"/>
      <c r="J35" s="936"/>
      <c r="K35" s="936"/>
      <c r="L35" s="936"/>
      <c r="M35" s="936"/>
      <c r="N35" s="936"/>
      <c r="O35" s="936"/>
      <c r="P35" s="936"/>
      <c r="Q35" s="936"/>
    </row>
    <row r="36" spans="1:20">
      <c r="B36" s="5" t="s">
        <v>3</v>
      </c>
      <c r="C36" s="29" t="s">
        <v>0</v>
      </c>
      <c r="D36" s="20">
        <v>1</v>
      </c>
      <c r="E36" s="20" t="s">
        <v>1</v>
      </c>
      <c r="F36" s="7">
        <v>3</v>
      </c>
      <c r="G36" s="20" t="s">
        <v>1</v>
      </c>
      <c r="H36" s="7">
        <v>1.6</v>
      </c>
      <c r="I36" s="20" t="s">
        <v>1</v>
      </c>
      <c r="J36" s="7">
        <v>0.15</v>
      </c>
      <c r="K36" s="20"/>
      <c r="L36" s="20"/>
      <c r="M36" s="20"/>
      <c r="N36" s="20"/>
      <c r="O36" s="29" t="s">
        <v>0</v>
      </c>
      <c r="P36" s="2">
        <f>ROUND(D36*F36*H36*J36,2)</f>
        <v>0.72</v>
      </c>
      <c r="Q36" t="s">
        <v>272</v>
      </c>
    </row>
    <row r="37" spans="1:20">
      <c r="B37" s="5" t="s">
        <v>2</v>
      </c>
      <c r="C37" s="29" t="s">
        <v>0</v>
      </c>
      <c r="D37" s="20">
        <v>1</v>
      </c>
      <c r="E37" s="20" t="s">
        <v>1</v>
      </c>
      <c r="F37" s="7">
        <v>5.8</v>
      </c>
      <c r="G37" s="20" t="s">
        <v>1</v>
      </c>
      <c r="H37" s="7">
        <v>1.84</v>
      </c>
      <c r="I37" s="20" t="s">
        <v>1</v>
      </c>
      <c r="J37" s="7">
        <v>0.15</v>
      </c>
      <c r="K37" s="20"/>
      <c r="L37" s="20"/>
      <c r="M37" s="20"/>
      <c r="N37" s="7"/>
      <c r="O37" s="29" t="s">
        <v>0</v>
      </c>
      <c r="P37" s="2">
        <f>ROUND(D37*F37*H37*J37,2)</f>
        <v>1.6</v>
      </c>
      <c r="Q37" t="s">
        <v>272</v>
      </c>
    </row>
    <row r="38" spans="1:20">
      <c r="B38" s="6" t="s">
        <v>4</v>
      </c>
      <c r="C38" s="29" t="s">
        <v>0</v>
      </c>
      <c r="D38" s="20">
        <v>1</v>
      </c>
      <c r="E38" s="20" t="s">
        <v>1</v>
      </c>
      <c r="F38" s="7">
        <v>1.2</v>
      </c>
      <c r="G38" s="20" t="s">
        <v>1</v>
      </c>
      <c r="H38" s="7">
        <v>1.2</v>
      </c>
      <c r="I38" s="20" t="s">
        <v>1</v>
      </c>
      <c r="J38" s="7">
        <v>0.15</v>
      </c>
      <c r="K38" s="20"/>
      <c r="L38" s="20"/>
      <c r="M38" s="30"/>
      <c r="N38" s="31"/>
      <c r="O38" s="32" t="s">
        <v>0</v>
      </c>
      <c r="P38" s="12">
        <f>ROUND(D38*F38*H38*J38,2)</f>
        <v>0.22</v>
      </c>
      <c r="Q38" s="13" t="s">
        <v>272</v>
      </c>
    </row>
    <row r="39" spans="1:20">
      <c r="D39" s="15"/>
      <c r="E39" s="15"/>
      <c r="F39" s="15"/>
      <c r="G39" s="15"/>
      <c r="K39" s="15"/>
      <c r="L39" s="15"/>
      <c r="M39" s="15"/>
      <c r="N39" s="7" t="s">
        <v>8</v>
      </c>
      <c r="O39" s="1" t="s">
        <v>0</v>
      </c>
      <c r="P39" s="2">
        <f>SUM(P36:P38)</f>
        <v>2.5400000000000005</v>
      </c>
      <c r="Q39" t="s">
        <v>272</v>
      </c>
    </row>
    <row r="40" spans="1:20">
      <c r="G40" s="891" t="s">
        <v>332</v>
      </c>
      <c r="H40" s="890"/>
      <c r="I40" s="891">
        <v>3133</v>
      </c>
      <c r="J40" s="891"/>
      <c r="K40" s="891"/>
      <c r="L40" s="906" t="s">
        <v>273</v>
      </c>
      <c r="M40" s="907"/>
      <c r="P40" s="2"/>
      <c r="R40" s="29" t="s">
        <v>0</v>
      </c>
      <c r="S40" s="16" t="s">
        <v>11</v>
      </c>
      <c r="T40" s="11">
        <f>ROUND(P39*I40,2)</f>
        <v>7957.82</v>
      </c>
    </row>
    <row r="41" spans="1:20">
      <c r="G41" s="17"/>
      <c r="I41" s="17"/>
      <c r="J41" s="17"/>
      <c r="K41" s="17"/>
      <c r="L41" s="9"/>
      <c r="M41" s="10"/>
      <c r="P41" s="19"/>
      <c r="Q41" s="18"/>
      <c r="R41" s="35"/>
      <c r="S41" s="25"/>
      <c r="T41" s="57"/>
    </row>
    <row r="42" spans="1:20">
      <c r="G42" s="17"/>
      <c r="I42" s="17"/>
      <c r="J42" s="17"/>
      <c r="K42" s="17"/>
      <c r="L42" s="9"/>
      <c r="M42" s="10"/>
      <c r="P42" s="13"/>
      <c r="Q42" s="13"/>
      <c r="R42" s="13"/>
      <c r="S42" s="13"/>
      <c r="T42" s="13"/>
    </row>
    <row r="43" spans="1:20">
      <c r="G43" s="17"/>
      <c r="I43" s="17"/>
      <c r="J43" s="17"/>
      <c r="K43" s="17"/>
      <c r="L43" s="9"/>
      <c r="M43" s="10"/>
      <c r="P43" s="913" t="s">
        <v>24</v>
      </c>
      <c r="Q43" s="913"/>
      <c r="R43" s="50" t="s">
        <v>0</v>
      </c>
      <c r="S43" s="49" t="s">
        <v>11</v>
      </c>
      <c r="T43" s="26">
        <f>SUM(T19:T42)</f>
        <v>16832.2</v>
      </c>
    </row>
    <row r="44" spans="1:20">
      <c r="G44" s="17"/>
      <c r="I44" s="17"/>
      <c r="J44" s="17"/>
      <c r="K44" s="17"/>
      <c r="L44" s="9"/>
      <c r="M44" s="10"/>
      <c r="P44" s="2"/>
      <c r="R44" s="29"/>
      <c r="S44" s="16"/>
      <c r="T44" s="11"/>
    </row>
    <row r="45" spans="1:20">
      <c r="G45" s="17"/>
      <c r="I45" s="17"/>
      <c r="J45" s="17"/>
      <c r="K45" s="17"/>
      <c r="L45" s="9"/>
      <c r="M45" s="10"/>
      <c r="P45" s="2"/>
      <c r="R45" s="29"/>
      <c r="S45" s="16"/>
      <c r="T45" s="11"/>
    </row>
    <row r="46" spans="1:20">
      <c r="G46" s="17"/>
      <c r="I46" s="17"/>
      <c r="J46" s="17"/>
      <c r="K46" s="17"/>
      <c r="L46" s="9"/>
      <c r="M46" s="10"/>
      <c r="P46" s="2"/>
      <c r="R46" s="29"/>
      <c r="S46" s="16"/>
      <c r="T46" s="11"/>
    </row>
    <row r="47" spans="1:20">
      <c r="G47" s="17"/>
      <c r="I47" s="17"/>
      <c r="J47" s="17"/>
      <c r="K47" s="17"/>
      <c r="L47" s="9"/>
      <c r="M47" s="10"/>
      <c r="P47" s="2"/>
      <c r="R47" s="29"/>
      <c r="S47" s="16"/>
      <c r="T47" s="11"/>
    </row>
    <row r="48" spans="1:20">
      <c r="G48" s="17"/>
      <c r="I48" s="17"/>
      <c r="J48" s="17"/>
      <c r="K48" s="17"/>
      <c r="L48" s="9"/>
      <c r="M48" s="10"/>
      <c r="P48" s="2"/>
      <c r="R48" s="29"/>
      <c r="S48" s="16"/>
      <c r="T48" s="11"/>
    </row>
    <row r="49" spans="1:20">
      <c r="G49" s="17"/>
      <c r="I49" s="17"/>
      <c r="J49" s="17"/>
      <c r="K49" s="17"/>
      <c r="L49" s="9"/>
      <c r="M49" s="10"/>
      <c r="P49" s="2"/>
      <c r="R49" s="29"/>
      <c r="S49" s="16"/>
      <c r="T49" s="11"/>
    </row>
    <row r="50" spans="1:20">
      <c r="H50" s="8"/>
      <c r="I50" s="8"/>
      <c r="J50" s="17"/>
      <c r="K50" s="17"/>
      <c r="L50" s="17"/>
      <c r="M50" s="17"/>
      <c r="N50" s="9"/>
      <c r="O50" s="10"/>
      <c r="P50" s="913" t="s">
        <v>25</v>
      </c>
      <c r="Q50" s="913"/>
      <c r="R50" s="50" t="s">
        <v>0</v>
      </c>
      <c r="S50" s="49" t="s">
        <v>11</v>
      </c>
      <c r="T50" s="140">
        <f>T43*1</f>
        <v>16832.2</v>
      </c>
    </row>
    <row r="51" spans="1:20">
      <c r="P51" s="58"/>
      <c r="Q51" s="58"/>
      <c r="R51" s="50"/>
      <c r="S51" s="49"/>
      <c r="T51" s="28"/>
    </row>
    <row r="52" spans="1:20" ht="39.75" customHeight="1">
      <c r="A52" s="95" t="s">
        <v>282</v>
      </c>
      <c r="B52" s="908" t="s">
        <v>283</v>
      </c>
      <c r="C52" s="908"/>
      <c r="D52" s="908"/>
      <c r="E52" s="908"/>
      <c r="F52" s="908"/>
      <c r="G52" s="908"/>
      <c r="H52" s="908"/>
      <c r="I52" s="908"/>
      <c r="J52" s="908"/>
      <c r="K52" s="908"/>
      <c r="L52" s="908"/>
      <c r="M52" s="908"/>
      <c r="N52" s="908"/>
      <c r="O52" s="908"/>
      <c r="P52" s="908"/>
      <c r="Q52" s="908"/>
    </row>
    <row r="53" spans="1:20">
      <c r="B53" s="949" t="s">
        <v>3</v>
      </c>
      <c r="C53" s="903" t="s">
        <v>0</v>
      </c>
      <c r="D53" s="892">
        <v>1</v>
      </c>
      <c r="E53" s="892" t="s">
        <v>1</v>
      </c>
      <c r="F53" s="893">
        <v>3</v>
      </c>
      <c r="G53" s="892" t="s">
        <v>1</v>
      </c>
      <c r="H53" s="31">
        <v>0.6</v>
      </c>
      <c r="I53" s="32" t="s">
        <v>14</v>
      </c>
      <c r="J53" s="31">
        <v>1.3</v>
      </c>
      <c r="K53" s="892" t="s">
        <v>1</v>
      </c>
      <c r="L53" s="893">
        <v>2.8</v>
      </c>
      <c r="M53" s="38"/>
      <c r="N53" s="40"/>
      <c r="O53" s="903" t="s">
        <v>0</v>
      </c>
      <c r="P53" s="896">
        <f>ROUND(L53*F53*D53*(H53+J53)/2,2)</f>
        <v>7.98</v>
      </c>
      <c r="Q53" s="915" t="s">
        <v>275</v>
      </c>
    </row>
    <row r="54" spans="1:20">
      <c r="B54" s="949"/>
      <c r="C54" s="903"/>
      <c r="D54" s="892"/>
      <c r="E54" s="892"/>
      <c r="F54" s="893"/>
      <c r="G54" s="892"/>
      <c r="H54" s="7"/>
      <c r="I54" s="29">
        <v>2</v>
      </c>
      <c r="J54" s="7"/>
      <c r="K54" s="892"/>
      <c r="L54" s="893"/>
      <c r="M54" s="38"/>
      <c r="N54" s="38"/>
      <c r="O54" s="903"/>
      <c r="P54" s="896"/>
      <c r="Q54" s="915"/>
    </row>
    <row r="55" spans="1:20">
      <c r="B55" s="949" t="s">
        <v>2</v>
      </c>
      <c r="C55" s="903" t="s">
        <v>0</v>
      </c>
      <c r="D55" s="892">
        <v>1</v>
      </c>
      <c r="E55" s="892" t="s">
        <v>1</v>
      </c>
      <c r="F55" s="893">
        <v>5.8</v>
      </c>
      <c r="G55" s="892" t="s">
        <v>1</v>
      </c>
      <c r="H55" s="31">
        <v>0.6</v>
      </c>
      <c r="I55" s="32" t="s">
        <v>14</v>
      </c>
      <c r="J55" s="31">
        <v>1.54</v>
      </c>
      <c r="K55" s="892" t="s">
        <v>1</v>
      </c>
      <c r="L55" s="893">
        <v>3.75</v>
      </c>
      <c r="M55" s="38"/>
      <c r="N55" s="40"/>
      <c r="O55" s="903" t="s">
        <v>0</v>
      </c>
      <c r="P55" s="896">
        <f>ROUND(L55*F55*D55*(H55+J55)/2,2)</f>
        <v>23.27</v>
      </c>
      <c r="Q55" s="915" t="s">
        <v>275</v>
      </c>
    </row>
    <row r="56" spans="1:20">
      <c r="B56" s="949"/>
      <c r="C56" s="903"/>
      <c r="D56" s="892"/>
      <c r="E56" s="892"/>
      <c r="F56" s="893"/>
      <c r="G56" s="892"/>
      <c r="H56" s="7"/>
      <c r="I56" s="29">
        <v>2</v>
      </c>
      <c r="J56" s="7"/>
      <c r="K56" s="892"/>
      <c r="L56" s="893"/>
      <c r="M56" s="38"/>
      <c r="N56" s="38"/>
      <c r="O56" s="903"/>
      <c r="P56" s="896"/>
      <c r="Q56" s="915"/>
    </row>
    <row r="57" spans="1:20">
      <c r="B57" s="6" t="s">
        <v>4</v>
      </c>
      <c r="C57" s="29" t="s">
        <v>0</v>
      </c>
      <c r="D57" s="20">
        <v>1</v>
      </c>
      <c r="E57" s="20" t="s">
        <v>1</v>
      </c>
      <c r="F57" s="7">
        <v>2.1</v>
      </c>
      <c r="G57" s="20" t="s">
        <v>1</v>
      </c>
      <c r="H57" s="7">
        <v>0.45</v>
      </c>
      <c r="I57" s="20" t="s">
        <v>1</v>
      </c>
      <c r="J57" s="44">
        <v>1.7749999999999999</v>
      </c>
      <c r="K57" s="20"/>
      <c r="L57" s="20"/>
      <c r="M57" s="20"/>
      <c r="N57" s="7"/>
      <c r="O57" s="29" t="s">
        <v>0</v>
      </c>
      <c r="P57" s="2">
        <f>ROUND(D57*F57*H57*J57,2)</f>
        <v>1.68</v>
      </c>
      <c r="Q57" t="s">
        <v>272</v>
      </c>
    </row>
    <row r="58" spans="1:20">
      <c r="B58" s="6"/>
      <c r="C58" s="29" t="s">
        <v>0</v>
      </c>
      <c r="D58" s="20">
        <v>2</v>
      </c>
      <c r="E58" s="20" t="s">
        <v>1</v>
      </c>
      <c r="F58" s="7">
        <v>1.2</v>
      </c>
      <c r="G58" s="20" t="s">
        <v>1</v>
      </c>
      <c r="H58" s="7">
        <v>0.45</v>
      </c>
      <c r="I58" s="20" t="s">
        <v>1</v>
      </c>
      <c r="J58" s="44">
        <v>1.7749999999999999</v>
      </c>
      <c r="K58" s="20"/>
      <c r="L58" s="20"/>
      <c r="M58" s="20"/>
      <c r="N58" s="7"/>
      <c r="O58" s="29" t="s">
        <v>0</v>
      </c>
      <c r="P58" s="2">
        <f>ROUND(D58*F58*H58*J58,2)</f>
        <v>1.92</v>
      </c>
      <c r="Q58" t="s">
        <v>272</v>
      </c>
    </row>
    <row r="59" spans="1:20">
      <c r="B59" s="6" t="s">
        <v>6</v>
      </c>
      <c r="C59" s="29" t="s">
        <v>0</v>
      </c>
      <c r="D59" s="20">
        <v>1</v>
      </c>
      <c r="E59" s="20" t="s">
        <v>1</v>
      </c>
      <c r="F59" s="7">
        <v>3</v>
      </c>
      <c r="G59" s="20" t="s">
        <v>1</v>
      </c>
      <c r="H59" s="7">
        <v>1.8</v>
      </c>
      <c r="I59" s="20" t="s">
        <v>1</v>
      </c>
      <c r="J59" s="7">
        <v>0.3</v>
      </c>
      <c r="K59" s="33"/>
      <c r="L59" s="33"/>
      <c r="M59" s="33"/>
      <c r="N59" s="34"/>
      <c r="O59" s="35" t="s">
        <v>0</v>
      </c>
      <c r="P59" s="19">
        <f>ROUND(D59*F59*H59*J59,2)</f>
        <v>1.62</v>
      </c>
      <c r="Q59" t="s">
        <v>272</v>
      </c>
    </row>
    <row r="60" spans="1:20">
      <c r="B60" s="6"/>
      <c r="C60" s="29" t="s">
        <v>0</v>
      </c>
      <c r="D60" s="20">
        <v>1</v>
      </c>
      <c r="E60" s="20" t="s">
        <v>1</v>
      </c>
      <c r="F60" s="7">
        <v>3</v>
      </c>
      <c r="G60" s="20" t="s">
        <v>1</v>
      </c>
      <c r="H60" s="7">
        <v>1.2</v>
      </c>
      <c r="I60" s="20" t="s">
        <v>1</v>
      </c>
      <c r="J60" s="7">
        <v>0.3</v>
      </c>
      <c r="K60" s="33"/>
      <c r="L60" s="33"/>
      <c r="M60" s="33"/>
      <c r="N60" s="34"/>
      <c r="O60" s="35" t="s">
        <v>0</v>
      </c>
      <c r="P60" s="19">
        <f>ROUND(D60*F60*H60*J60,20)</f>
        <v>1.08</v>
      </c>
      <c r="Q60" t="s">
        <v>272</v>
      </c>
    </row>
    <row r="61" spans="1:20">
      <c r="B61" s="6"/>
      <c r="C61" s="29" t="s">
        <v>0</v>
      </c>
      <c r="D61" s="20">
        <v>1</v>
      </c>
      <c r="E61" s="20" t="s">
        <v>1</v>
      </c>
      <c r="F61" s="7">
        <v>3</v>
      </c>
      <c r="G61" s="20" t="s">
        <v>1</v>
      </c>
      <c r="H61" s="7">
        <v>0.6</v>
      </c>
      <c r="I61" s="20" t="s">
        <v>1</v>
      </c>
      <c r="J61" s="7">
        <v>0.3</v>
      </c>
      <c r="K61" s="33"/>
      <c r="L61" s="33"/>
      <c r="M61" s="33"/>
      <c r="N61" s="34"/>
      <c r="O61" s="35" t="s">
        <v>0</v>
      </c>
      <c r="P61" s="19">
        <f>ROUND(D61*F61*H61*J61,2)</f>
        <v>0.54</v>
      </c>
      <c r="Q61" t="s">
        <v>272</v>
      </c>
    </row>
    <row r="62" spans="1:20">
      <c r="B62" s="5" t="s">
        <v>15</v>
      </c>
      <c r="C62" s="29" t="s">
        <v>0</v>
      </c>
      <c r="D62" s="20">
        <v>1</v>
      </c>
      <c r="E62" s="20" t="s">
        <v>1</v>
      </c>
      <c r="F62" s="7">
        <v>3</v>
      </c>
      <c r="G62" s="20" t="s">
        <v>1</v>
      </c>
      <c r="H62" s="7">
        <v>0.6</v>
      </c>
      <c r="I62" s="20" t="s">
        <v>1</v>
      </c>
      <c r="J62" s="7">
        <v>0.6</v>
      </c>
      <c r="K62" s="33"/>
      <c r="L62" s="33"/>
      <c r="M62" s="33"/>
      <c r="N62" s="34"/>
      <c r="O62" s="35" t="s">
        <v>0</v>
      </c>
      <c r="P62" s="19">
        <f>ROUND(D62*F62*H62*J62,2)</f>
        <v>1.08</v>
      </c>
      <c r="Q62" t="s">
        <v>272</v>
      </c>
    </row>
    <row r="63" spans="1:20">
      <c r="C63" s="29" t="s">
        <v>0</v>
      </c>
      <c r="D63" s="20">
        <v>2</v>
      </c>
      <c r="E63" s="20" t="s">
        <v>1</v>
      </c>
      <c r="F63" s="7">
        <v>2.5</v>
      </c>
      <c r="G63" s="20" t="s">
        <v>1</v>
      </c>
      <c r="H63" s="7">
        <v>0.6</v>
      </c>
      <c r="I63" s="20" t="s">
        <v>1</v>
      </c>
      <c r="J63" s="7">
        <v>0.6</v>
      </c>
      <c r="K63" s="33"/>
      <c r="L63" s="33"/>
      <c r="M63" s="30"/>
      <c r="N63" s="31"/>
      <c r="O63" s="32" t="s">
        <v>0</v>
      </c>
      <c r="P63" s="12">
        <f>ROUND(D63*F63*H63*J63,2)</f>
        <v>1.8</v>
      </c>
      <c r="Q63" s="13" t="s">
        <v>272</v>
      </c>
    </row>
    <row r="64" spans="1:20">
      <c r="C64" s="29"/>
      <c r="D64" s="20"/>
      <c r="E64" s="20"/>
      <c r="F64" s="7"/>
      <c r="G64" s="20"/>
      <c r="H64" s="7"/>
      <c r="I64" s="20"/>
      <c r="J64" s="7"/>
      <c r="K64" s="33"/>
      <c r="L64" s="33"/>
      <c r="M64" s="33"/>
      <c r="N64" s="7" t="s">
        <v>8</v>
      </c>
      <c r="O64" s="35" t="s">
        <v>0</v>
      </c>
      <c r="P64" s="19">
        <f>SUM(P53:P63)</f>
        <v>40.969999999999992</v>
      </c>
      <c r="Q64" t="s">
        <v>272</v>
      </c>
    </row>
    <row r="65" spans="1:20" ht="12.75" customHeight="1">
      <c r="B65" s="947" t="s">
        <v>12</v>
      </c>
      <c r="C65" s="903" t="s">
        <v>0</v>
      </c>
      <c r="D65" s="892">
        <v>2</v>
      </c>
      <c r="E65" s="892" t="s">
        <v>1</v>
      </c>
      <c r="F65" s="45">
        <v>1.05</v>
      </c>
      <c r="G65" s="46" t="s">
        <v>14</v>
      </c>
      <c r="H65" s="31">
        <v>0.75</v>
      </c>
      <c r="I65" s="892" t="s">
        <v>1</v>
      </c>
      <c r="J65" s="31">
        <v>3.14</v>
      </c>
      <c r="K65" s="892" t="s">
        <v>1</v>
      </c>
      <c r="L65" s="893">
        <v>1.2</v>
      </c>
      <c r="M65" s="941" t="s">
        <v>1</v>
      </c>
      <c r="N65" s="943">
        <v>1.2</v>
      </c>
      <c r="O65" s="937" t="s">
        <v>0</v>
      </c>
      <c r="P65" s="945">
        <f>ROUND((N65*L65*D65*(J65/J66)*(F65+H65)/G66),2)</f>
        <v>2.0299999999999998</v>
      </c>
      <c r="Q65" t="s">
        <v>272</v>
      </c>
    </row>
    <row r="66" spans="1:20">
      <c r="B66" s="898"/>
      <c r="C66" s="892"/>
      <c r="D66" s="892"/>
      <c r="E66" s="892"/>
      <c r="F66" s="38"/>
      <c r="G66" s="38">
        <v>2</v>
      </c>
      <c r="H66" s="20"/>
      <c r="I66" s="892"/>
      <c r="J66" s="20">
        <v>4</v>
      </c>
      <c r="K66" s="892"/>
      <c r="L66" s="893"/>
      <c r="M66" s="942"/>
      <c r="N66" s="944"/>
      <c r="O66" s="938"/>
      <c r="P66" s="946"/>
      <c r="Q66" s="13" t="s">
        <v>272</v>
      </c>
    </row>
    <row r="67" spans="1:20">
      <c r="C67" s="1"/>
      <c r="F67" s="2"/>
      <c r="H67" s="2"/>
      <c r="I67" s="1"/>
      <c r="J67" s="2"/>
      <c r="L67" t="s">
        <v>68</v>
      </c>
      <c r="N67" s="7"/>
      <c r="O67" s="1" t="s">
        <v>0</v>
      </c>
      <c r="P67" s="2">
        <f>P64-P65</f>
        <v>38.939999999999991</v>
      </c>
      <c r="Q67" t="s">
        <v>272</v>
      </c>
    </row>
    <row r="68" spans="1:20" ht="12.75" customHeight="1">
      <c r="C68" s="1"/>
      <c r="F68" s="2"/>
      <c r="I68" s="8"/>
      <c r="J68" s="153" t="s">
        <v>332</v>
      </c>
      <c r="K68" s="891">
        <v>2334</v>
      </c>
      <c r="L68" s="891"/>
      <c r="M68" s="891"/>
      <c r="N68" s="906" t="s">
        <v>273</v>
      </c>
      <c r="O68" s="907"/>
      <c r="P68" s="2"/>
      <c r="R68" s="29" t="s">
        <v>0</v>
      </c>
      <c r="S68" s="16" t="s">
        <v>11</v>
      </c>
      <c r="T68" s="11">
        <f>ROUND(P67*K68,2)</f>
        <v>90885.96</v>
      </c>
    </row>
    <row r="69" spans="1:20" ht="12.75" customHeight="1">
      <c r="C69" s="1"/>
      <c r="F69" s="2"/>
      <c r="I69" s="8"/>
      <c r="J69" s="8"/>
      <c r="K69" s="8"/>
      <c r="L69" s="17"/>
      <c r="M69" s="17"/>
      <c r="N69" s="9"/>
      <c r="O69" s="10"/>
      <c r="P69" s="2"/>
      <c r="S69" s="16"/>
      <c r="T69" s="11"/>
    </row>
    <row r="70" spans="1:20" ht="12.75" customHeight="1">
      <c r="C70" s="1"/>
      <c r="F70" s="2"/>
      <c r="I70" s="8"/>
      <c r="J70" s="8"/>
      <c r="K70" s="8"/>
      <c r="L70" s="17"/>
      <c r="M70" s="17"/>
      <c r="N70" s="9"/>
      <c r="O70" s="10"/>
      <c r="P70" s="2"/>
      <c r="S70" s="16"/>
      <c r="T70" s="11"/>
    </row>
    <row r="71" spans="1:20" ht="12.75" customHeight="1">
      <c r="C71" s="1"/>
      <c r="F71" s="2"/>
      <c r="I71" s="8"/>
      <c r="J71" s="8"/>
      <c r="K71" s="8"/>
      <c r="L71" s="17"/>
      <c r="M71" s="17"/>
      <c r="N71" s="9"/>
      <c r="O71" s="10"/>
      <c r="P71" s="2"/>
      <c r="S71" s="16"/>
      <c r="T71" s="11"/>
    </row>
    <row r="72" spans="1:20" ht="72" customHeight="1">
      <c r="A72" s="95" t="s">
        <v>286</v>
      </c>
      <c r="B72" s="936" t="s">
        <v>285</v>
      </c>
      <c r="C72" s="936"/>
      <c r="D72" s="936"/>
      <c r="E72" s="936"/>
      <c r="F72" s="936"/>
      <c r="G72" s="936"/>
      <c r="H72" s="936"/>
      <c r="I72" s="936"/>
      <c r="J72" s="936"/>
      <c r="K72" s="936"/>
      <c r="L72" s="936"/>
      <c r="M72" s="936"/>
      <c r="N72" s="936"/>
      <c r="O72" s="936"/>
      <c r="P72" s="936"/>
      <c r="Q72" s="936"/>
    </row>
    <row r="73" spans="1:20" ht="12.75" customHeight="1">
      <c r="A73" s="16" t="s">
        <v>64</v>
      </c>
      <c r="B73" t="s">
        <v>268</v>
      </c>
    </row>
    <row r="74" spans="1:20" ht="12.75" customHeight="1">
      <c r="A74" s="16"/>
      <c r="B74" t="s">
        <v>327</v>
      </c>
    </row>
    <row r="75" spans="1:20" ht="12.75" customHeight="1">
      <c r="E75" s="1" t="s">
        <v>0</v>
      </c>
      <c r="F75" s="20">
        <v>4</v>
      </c>
      <c r="G75" s="13" t="s">
        <v>1</v>
      </c>
      <c r="H75" s="31">
        <v>2.5</v>
      </c>
      <c r="I75" s="32" t="s">
        <v>0</v>
      </c>
      <c r="J75" s="31">
        <f>F75*H75</f>
        <v>10</v>
      </c>
      <c r="K75" s="13" t="s">
        <v>13</v>
      </c>
      <c r="L75" s="13"/>
    </row>
    <row r="76" spans="1:20" ht="12.75" customHeight="1">
      <c r="E76" s="1"/>
      <c r="H76" s="7" t="s">
        <v>8</v>
      </c>
      <c r="I76" s="29" t="s">
        <v>0</v>
      </c>
      <c r="J76" s="7">
        <f>SUM(J75:J75)</f>
        <v>10</v>
      </c>
      <c r="K76" t="s">
        <v>13</v>
      </c>
    </row>
    <row r="77" spans="1:20" ht="12.75" customHeight="1">
      <c r="I77" s="8"/>
      <c r="J77" s="153" t="s">
        <v>332</v>
      </c>
      <c r="K77" s="891">
        <v>9264</v>
      </c>
      <c r="L77" s="891"/>
      <c r="M77" s="891"/>
      <c r="N77" s="9" t="s">
        <v>18</v>
      </c>
      <c r="O77" s="10"/>
      <c r="P77" s="2"/>
      <c r="R77" s="29" t="s">
        <v>0</v>
      </c>
      <c r="S77" s="16" t="s">
        <v>11</v>
      </c>
      <c r="T77" s="11">
        <f>ROUND(J75*K77,2)</f>
        <v>92640</v>
      </c>
    </row>
    <row r="78" spans="1:20" ht="12.75" customHeight="1">
      <c r="C78" s="1"/>
      <c r="F78" s="2"/>
      <c r="I78" s="8"/>
      <c r="J78" s="8"/>
      <c r="K78" s="8"/>
      <c r="L78" s="17"/>
      <c r="M78" s="17"/>
      <c r="N78" s="9"/>
      <c r="O78" s="10"/>
      <c r="P78" s="2"/>
      <c r="S78" s="16"/>
      <c r="T78" s="11"/>
    </row>
    <row r="79" spans="1:20" ht="12.75" customHeight="1">
      <c r="C79" s="1"/>
      <c r="F79" s="2"/>
      <c r="I79" s="8"/>
      <c r="J79" s="8"/>
      <c r="K79" s="8"/>
      <c r="L79" s="17"/>
      <c r="M79" s="17"/>
      <c r="N79" s="9"/>
      <c r="O79" s="10"/>
      <c r="P79" s="2"/>
      <c r="S79" s="16"/>
      <c r="T79" s="11"/>
    </row>
    <row r="80" spans="1:20" ht="12.75" customHeight="1">
      <c r="C80" s="1"/>
      <c r="F80" s="2"/>
      <c r="I80" s="8"/>
      <c r="J80" s="8"/>
      <c r="K80" s="8"/>
      <c r="L80" s="17"/>
      <c r="M80" s="17"/>
      <c r="N80" s="9"/>
      <c r="O80" s="10"/>
      <c r="P80" s="2"/>
      <c r="S80" s="16"/>
      <c r="T80" s="11"/>
    </row>
    <row r="81" spans="1:20" ht="42" customHeight="1">
      <c r="A81" s="95" t="s">
        <v>287</v>
      </c>
      <c r="B81" s="936" t="s">
        <v>37</v>
      </c>
      <c r="C81" s="936"/>
      <c r="D81" s="936"/>
      <c r="E81" s="936"/>
      <c r="F81" s="936"/>
      <c r="G81" s="936"/>
      <c r="H81" s="936"/>
      <c r="I81" s="936"/>
      <c r="J81" s="936"/>
      <c r="K81" s="936"/>
      <c r="L81" s="936"/>
      <c r="M81" s="936"/>
      <c r="N81" s="936"/>
      <c r="O81" s="936"/>
      <c r="P81" s="936"/>
      <c r="Q81" s="936"/>
    </row>
    <row r="82" spans="1:20" ht="18.75" customHeight="1">
      <c r="A82" s="54"/>
      <c r="B82" s="926" t="s">
        <v>38</v>
      </c>
      <c r="C82" s="926"/>
      <c r="D82" s="926"/>
      <c r="E82" s="926"/>
      <c r="F82" s="926"/>
      <c r="G82" s="926"/>
      <c r="H82" s="926"/>
      <c r="I82" s="926"/>
      <c r="J82" s="926"/>
      <c r="K82" s="926"/>
      <c r="L82" s="926"/>
      <c r="M82" s="926"/>
      <c r="N82" s="926"/>
      <c r="O82" s="926"/>
      <c r="P82" s="926"/>
      <c r="Q82" s="926"/>
    </row>
    <row r="83" spans="1:20">
      <c r="B83" s="932" t="s">
        <v>66</v>
      </c>
      <c r="C83" s="903" t="s">
        <v>0</v>
      </c>
      <c r="D83" s="892">
        <v>1</v>
      </c>
      <c r="E83" s="892" t="s">
        <v>1</v>
      </c>
      <c r="F83" s="893">
        <v>3</v>
      </c>
      <c r="G83" s="892" t="s">
        <v>1</v>
      </c>
      <c r="H83" s="31">
        <v>0.15</v>
      </c>
      <c r="I83" s="32" t="s">
        <v>14</v>
      </c>
      <c r="J83" s="31">
        <v>0.32</v>
      </c>
      <c r="K83" s="892" t="s">
        <v>1</v>
      </c>
      <c r="L83" s="893">
        <v>0.68</v>
      </c>
      <c r="M83" s="38"/>
      <c r="N83" s="40"/>
      <c r="O83" s="903" t="s">
        <v>0</v>
      </c>
      <c r="P83" s="896">
        <f>ROUND(L83*F83*D83*(H83+J83)/2,2)</f>
        <v>0.48</v>
      </c>
      <c r="Q83" s="915" t="s">
        <v>275</v>
      </c>
    </row>
    <row r="84" spans="1:20">
      <c r="B84" s="933"/>
      <c r="C84" s="903"/>
      <c r="D84" s="892"/>
      <c r="E84" s="892"/>
      <c r="F84" s="893"/>
      <c r="G84" s="892"/>
      <c r="H84" s="7"/>
      <c r="I84" s="29">
        <v>2</v>
      </c>
      <c r="J84" s="7"/>
      <c r="K84" s="892"/>
      <c r="L84" s="893"/>
      <c r="M84" s="38"/>
      <c r="N84" s="38"/>
      <c r="O84" s="903"/>
      <c r="P84" s="896"/>
      <c r="Q84" s="915"/>
    </row>
    <row r="85" spans="1:20">
      <c r="B85" s="41"/>
      <c r="C85" s="29" t="s">
        <v>0</v>
      </c>
      <c r="D85" s="20">
        <v>1</v>
      </c>
      <c r="E85" s="20" t="s">
        <v>1</v>
      </c>
      <c r="F85" s="7">
        <v>3</v>
      </c>
      <c r="G85" s="20" t="s">
        <v>1</v>
      </c>
      <c r="H85" s="7">
        <v>0.6</v>
      </c>
      <c r="I85" s="20" t="s">
        <v>1</v>
      </c>
      <c r="J85" s="44">
        <v>2.125</v>
      </c>
      <c r="K85" s="20"/>
      <c r="L85" s="20"/>
      <c r="M85" s="20"/>
      <c r="N85" s="20"/>
      <c r="O85" s="1" t="s">
        <v>0</v>
      </c>
      <c r="P85" s="2">
        <f>ROUND(D85*F85*H85*J85,2)</f>
        <v>3.83</v>
      </c>
      <c r="Q85" t="s">
        <v>272</v>
      </c>
    </row>
    <row r="86" spans="1:20">
      <c r="B86" s="932" t="s">
        <v>67</v>
      </c>
      <c r="C86" s="903" t="s">
        <v>0</v>
      </c>
      <c r="D86" s="892">
        <v>1</v>
      </c>
      <c r="E86" s="892" t="s">
        <v>1</v>
      </c>
      <c r="F86" s="893">
        <v>5.8</v>
      </c>
      <c r="G86" s="892" t="s">
        <v>1</v>
      </c>
      <c r="H86" s="31">
        <v>0.15</v>
      </c>
      <c r="I86" s="32" t="s">
        <v>14</v>
      </c>
      <c r="J86" s="31">
        <v>0.56000000000000005</v>
      </c>
      <c r="K86" s="892" t="s">
        <v>1</v>
      </c>
      <c r="L86" s="893">
        <v>1.62</v>
      </c>
      <c r="M86" s="39"/>
      <c r="N86" s="37"/>
      <c r="O86" s="937" t="s">
        <v>0</v>
      </c>
      <c r="P86" s="896">
        <f>ROUND(L86*F86*D86*(H86+J86)/2,2)</f>
        <v>3.34</v>
      </c>
      <c r="Q86" s="934" t="s">
        <v>275</v>
      </c>
      <c r="R86" s="18"/>
    </row>
    <row r="87" spans="1:20">
      <c r="B87" s="933"/>
      <c r="C87" s="903"/>
      <c r="D87" s="892"/>
      <c r="E87" s="892"/>
      <c r="F87" s="893"/>
      <c r="G87" s="892"/>
      <c r="H87" s="7"/>
      <c r="I87" s="29">
        <v>2</v>
      </c>
      <c r="J87" s="7"/>
      <c r="K87" s="892"/>
      <c r="L87" s="893"/>
      <c r="M87" s="39"/>
      <c r="N87" s="39"/>
      <c r="O87" s="937"/>
      <c r="P87" s="896"/>
      <c r="Q87" s="934"/>
      <c r="R87" s="18"/>
      <c r="T87" s="11"/>
    </row>
    <row r="88" spans="1:20">
      <c r="B88" s="41"/>
      <c r="C88" s="29" t="s">
        <v>0</v>
      </c>
      <c r="D88" s="20">
        <v>1</v>
      </c>
      <c r="E88" s="20" t="s">
        <v>1</v>
      </c>
      <c r="F88" s="7">
        <v>5.8</v>
      </c>
      <c r="G88" s="20" t="s">
        <v>1</v>
      </c>
      <c r="H88" s="7">
        <v>0.6</v>
      </c>
      <c r="I88" s="20" t="s">
        <v>1</v>
      </c>
      <c r="J88" s="44">
        <v>2.125</v>
      </c>
      <c r="K88" s="20"/>
      <c r="L88" s="33"/>
      <c r="M88" s="30"/>
      <c r="N88" s="31"/>
      <c r="O88" s="14" t="s">
        <v>0</v>
      </c>
      <c r="P88" s="12">
        <f>ROUND(D88*F88*H88*J88,2)</f>
        <v>7.4</v>
      </c>
      <c r="Q88" s="13" t="s">
        <v>272</v>
      </c>
      <c r="T88" s="11"/>
    </row>
    <row r="89" spans="1:20">
      <c r="B89" s="41"/>
      <c r="C89" s="29"/>
      <c r="D89" s="20"/>
      <c r="E89" s="20"/>
      <c r="F89" s="7"/>
      <c r="G89" s="20"/>
      <c r="H89" s="7"/>
      <c r="I89" s="20"/>
      <c r="J89" s="44"/>
      <c r="K89" s="20"/>
      <c r="L89" s="33"/>
      <c r="M89" s="912" t="s">
        <v>8</v>
      </c>
      <c r="N89" s="912"/>
      <c r="O89" s="76" t="s">
        <v>0</v>
      </c>
      <c r="P89" s="19">
        <f>SUM(P83:P88)</f>
        <v>15.05</v>
      </c>
      <c r="Q89" s="18" t="s">
        <v>272</v>
      </c>
      <c r="T89" s="11"/>
    </row>
    <row r="90" spans="1:20" ht="12.75" customHeight="1">
      <c r="B90" s="898" t="s">
        <v>48</v>
      </c>
      <c r="C90" s="898"/>
      <c r="D90" s="898"/>
      <c r="E90" s="898"/>
      <c r="F90" s="898"/>
      <c r="G90" s="898"/>
      <c r="H90" s="898"/>
      <c r="I90" s="20"/>
      <c r="J90" s="44"/>
      <c r="K90" s="20"/>
      <c r="L90" s="20"/>
      <c r="M90" s="20"/>
      <c r="N90" s="7"/>
      <c r="O90" s="1"/>
      <c r="P90" s="2"/>
      <c r="T90" s="11"/>
    </row>
    <row r="91" spans="1:20">
      <c r="B91" s="41"/>
      <c r="C91" s="903" t="s">
        <v>0</v>
      </c>
      <c r="D91" s="892">
        <v>2</v>
      </c>
      <c r="E91" s="892" t="s">
        <v>1</v>
      </c>
      <c r="F91" s="31">
        <v>3.14</v>
      </c>
      <c r="G91" s="892" t="s">
        <v>1</v>
      </c>
      <c r="H91" s="893">
        <v>1.2</v>
      </c>
      <c r="I91" s="892" t="s">
        <v>1</v>
      </c>
      <c r="J91" s="893">
        <v>1.2</v>
      </c>
      <c r="K91" s="892" t="s">
        <v>1</v>
      </c>
      <c r="L91" s="893">
        <v>0.6</v>
      </c>
      <c r="M91" s="33"/>
      <c r="N91" s="34"/>
      <c r="O91" s="937" t="s">
        <v>0</v>
      </c>
      <c r="P91" s="939">
        <f>ROUND((L91*J91*H91*D91)*(F91)/4,2)</f>
        <v>1.36</v>
      </c>
      <c r="Q91" s="934" t="s">
        <v>275</v>
      </c>
      <c r="T91" s="11"/>
    </row>
    <row r="92" spans="1:20">
      <c r="B92" s="41"/>
      <c r="C92" s="903"/>
      <c r="D92" s="892"/>
      <c r="E92" s="892"/>
      <c r="F92" s="36">
        <v>4</v>
      </c>
      <c r="G92" s="892"/>
      <c r="H92" s="893"/>
      <c r="I92" s="892"/>
      <c r="J92" s="893"/>
      <c r="K92" s="892"/>
      <c r="L92" s="893"/>
      <c r="M92" s="30"/>
      <c r="N92" s="31"/>
      <c r="O92" s="938"/>
      <c r="P92" s="940"/>
      <c r="Q92" s="935"/>
      <c r="T92" s="11"/>
    </row>
    <row r="93" spans="1:20">
      <c r="L93" t="s">
        <v>49</v>
      </c>
      <c r="N93" s="7"/>
      <c r="O93" s="1" t="s">
        <v>0</v>
      </c>
      <c r="P93" s="2">
        <f>P89-P91</f>
        <v>13.690000000000001</v>
      </c>
      <c r="Q93" t="s">
        <v>272</v>
      </c>
    </row>
    <row r="94" spans="1:20" ht="12.75" customHeight="1">
      <c r="I94" s="8"/>
      <c r="J94" s="153" t="s">
        <v>332</v>
      </c>
      <c r="K94" s="891">
        <v>358</v>
      </c>
      <c r="L94" s="891"/>
      <c r="M94" s="891"/>
      <c r="N94" s="906" t="s">
        <v>273</v>
      </c>
      <c r="O94" s="907"/>
      <c r="P94" s="2"/>
      <c r="R94" s="29" t="s">
        <v>0</v>
      </c>
      <c r="S94" s="16" t="s">
        <v>11</v>
      </c>
      <c r="T94" s="11">
        <f>ROUND(P93*K94,2)</f>
        <v>4901.0200000000004</v>
      </c>
    </row>
    <row r="95" spans="1:20" ht="12.75" customHeight="1">
      <c r="I95" s="8"/>
      <c r="J95" s="8"/>
      <c r="K95" s="17"/>
      <c r="L95" s="17"/>
      <c r="M95" s="17"/>
      <c r="N95" s="9"/>
      <c r="O95" s="10"/>
      <c r="P95" s="12"/>
      <c r="Q95" s="13"/>
      <c r="R95" s="32"/>
      <c r="S95" s="23"/>
      <c r="T95" s="27"/>
    </row>
    <row r="96" spans="1:20" ht="12.75" customHeight="1">
      <c r="I96" s="8"/>
      <c r="J96" s="8"/>
      <c r="K96" s="17"/>
      <c r="L96" s="17"/>
      <c r="M96" s="17"/>
      <c r="N96" s="9"/>
      <c r="O96" s="10"/>
      <c r="P96" s="913" t="s">
        <v>24</v>
      </c>
      <c r="Q96" s="913"/>
      <c r="R96" s="50" t="s">
        <v>0</v>
      </c>
      <c r="S96" s="49" t="s">
        <v>11</v>
      </c>
      <c r="T96" s="26">
        <f>SUM(T50:T95)</f>
        <v>205259.18</v>
      </c>
    </row>
    <row r="97" spans="1:21" ht="12.75" customHeight="1">
      <c r="I97" s="8"/>
      <c r="J97" s="8"/>
      <c r="K97" s="17"/>
      <c r="L97" s="17"/>
      <c r="M97" s="17"/>
      <c r="N97" s="9"/>
      <c r="O97" s="10"/>
      <c r="P97" s="2"/>
      <c r="R97" s="29"/>
      <c r="S97" s="16"/>
      <c r="T97" s="11"/>
    </row>
    <row r="98" spans="1:21" ht="12.75" customHeight="1">
      <c r="I98" s="8"/>
      <c r="J98" s="8"/>
      <c r="K98" s="17"/>
      <c r="L98" s="17"/>
      <c r="M98" s="17"/>
      <c r="N98" s="9"/>
      <c r="O98" s="10"/>
      <c r="P98" s="2"/>
      <c r="R98" s="29"/>
      <c r="S98" s="16"/>
      <c r="T98" s="11"/>
    </row>
    <row r="99" spans="1:21" ht="12.75" customHeight="1">
      <c r="I99" s="8"/>
      <c r="J99" s="8"/>
      <c r="K99" s="17"/>
      <c r="L99" s="17"/>
      <c r="M99" s="17"/>
      <c r="N99" s="9"/>
      <c r="O99" s="10"/>
      <c r="P99" s="913" t="s">
        <v>25</v>
      </c>
      <c r="Q99" s="913"/>
      <c r="R99" s="50" t="s">
        <v>0</v>
      </c>
      <c r="S99" s="49" t="s">
        <v>11</v>
      </c>
      <c r="T99" s="26">
        <f>T96*1</f>
        <v>205259.18</v>
      </c>
    </row>
    <row r="100" spans="1:21" ht="12.75" customHeight="1">
      <c r="I100" s="8"/>
      <c r="J100" s="8"/>
      <c r="K100" s="8"/>
      <c r="L100" s="17"/>
      <c r="M100" s="17"/>
      <c r="N100" s="9"/>
      <c r="O100" s="10"/>
      <c r="P100" s="2"/>
      <c r="R100" s="29"/>
      <c r="S100" s="16"/>
      <c r="T100" s="11"/>
    </row>
    <row r="101" spans="1:21" ht="42.75" customHeight="1">
      <c r="A101" s="95" t="s">
        <v>328</v>
      </c>
      <c r="B101" s="936" t="s">
        <v>288</v>
      </c>
      <c r="C101" s="936"/>
      <c r="D101" s="936"/>
      <c r="E101" s="936"/>
      <c r="F101" s="936"/>
      <c r="G101" s="936"/>
      <c r="H101" s="936"/>
      <c r="I101" s="936"/>
      <c r="J101" s="936"/>
      <c r="K101" s="936"/>
      <c r="L101" s="936"/>
      <c r="M101" s="936"/>
      <c r="N101" s="936"/>
      <c r="O101" s="936"/>
      <c r="P101" s="936"/>
      <c r="Q101" s="936"/>
    </row>
    <row r="102" spans="1:21">
      <c r="B102" s="932" t="s">
        <v>66</v>
      </c>
      <c r="C102" s="903" t="s">
        <v>0</v>
      </c>
      <c r="D102" s="892">
        <v>2</v>
      </c>
      <c r="E102" s="892" t="s">
        <v>1</v>
      </c>
      <c r="F102" s="893">
        <v>1.2</v>
      </c>
      <c r="G102" s="892" t="s">
        <v>1</v>
      </c>
      <c r="H102" s="31">
        <v>0</v>
      </c>
      <c r="I102" s="32" t="s">
        <v>14</v>
      </c>
      <c r="J102" s="31">
        <v>0.25</v>
      </c>
      <c r="K102" s="892" t="s">
        <v>1</v>
      </c>
      <c r="L102" s="902">
        <v>2.125</v>
      </c>
      <c r="M102" s="38"/>
      <c r="N102" s="40"/>
      <c r="O102" s="903" t="s">
        <v>0</v>
      </c>
      <c r="P102" s="896">
        <f>ROUND(L102*F102*D102*(H102+J102)/2,2)</f>
        <v>0.64</v>
      </c>
      <c r="Q102" s="915" t="s">
        <v>7</v>
      </c>
    </row>
    <row r="103" spans="1:21">
      <c r="B103" s="933"/>
      <c r="C103" s="903"/>
      <c r="D103" s="892"/>
      <c r="E103" s="892"/>
      <c r="F103" s="893"/>
      <c r="G103" s="892"/>
      <c r="H103" s="7"/>
      <c r="I103" s="29">
        <v>2</v>
      </c>
      <c r="J103" s="7"/>
      <c r="K103" s="892"/>
      <c r="L103" s="902"/>
      <c r="M103" s="38"/>
      <c r="N103" s="38"/>
      <c r="O103" s="903"/>
      <c r="P103" s="896"/>
      <c r="Q103" s="915"/>
      <c r="U103" s="11"/>
    </row>
    <row r="104" spans="1:21">
      <c r="B104" s="932" t="s">
        <v>67</v>
      </c>
      <c r="C104" s="903" t="s">
        <v>0</v>
      </c>
      <c r="D104" s="892">
        <v>2</v>
      </c>
      <c r="E104" s="892" t="s">
        <v>1</v>
      </c>
      <c r="F104" s="893">
        <v>2</v>
      </c>
      <c r="G104" s="892" t="s">
        <v>1</v>
      </c>
      <c r="H104" s="31">
        <v>0</v>
      </c>
      <c r="I104" s="32" t="s">
        <v>14</v>
      </c>
      <c r="J104" s="31">
        <v>0.49</v>
      </c>
      <c r="K104" s="892" t="s">
        <v>1</v>
      </c>
      <c r="L104" s="902">
        <v>2.125</v>
      </c>
      <c r="M104" s="38"/>
      <c r="N104" s="40"/>
      <c r="O104" s="903" t="s">
        <v>0</v>
      </c>
      <c r="P104" s="896">
        <f>ROUND(L104*F104*D104*(H104+J104)/2,2)</f>
        <v>2.08</v>
      </c>
      <c r="Q104" s="915" t="s">
        <v>7</v>
      </c>
      <c r="U104" s="11"/>
    </row>
    <row r="105" spans="1:21">
      <c r="B105" s="933"/>
      <c r="C105" s="903"/>
      <c r="D105" s="892"/>
      <c r="E105" s="892"/>
      <c r="F105" s="893"/>
      <c r="G105" s="892"/>
      <c r="H105" s="7"/>
      <c r="I105" s="29">
        <v>2</v>
      </c>
      <c r="J105" s="7"/>
      <c r="K105" s="892"/>
      <c r="L105" s="902"/>
      <c r="M105" s="38"/>
      <c r="N105" s="38"/>
      <c r="O105" s="903"/>
      <c r="P105" s="896"/>
      <c r="Q105" s="915"/>
      <c r="U105" s="11"/>
    </row>
    <row r="106" spans="1:21" ht="14.25">
      <c r="B106" s="899" t="s">
        <v>27</v>
      </c>
      <c r="C106" s="900" t="s">
        <v>0</v>
      </c>
      <c r="D106" s="901">
        <v>1</v>
      </c>
      <c r="E106" s="901" t="s">
        <v>1</v>
      </c>
      <c r="F106" s="147">
        <v>7.3</v>
      </c>
      <c r="G106" s="148" t="s">
        <v>14</v>
      </c>
      <c r="H106" s="147">
        <v>7.6</v>
      </c>
      <c r="I106" s="901" t="s">
        <v>1</v>
      </c>
      <c r="J106" s="916">
        <v>1.8</v>
      </c>
      <c r="K106" s="901" t="s">
        <v>1</v>
      </c>
      <c r="L106" s="916">
        <v>0.6</v>
      </c>
      <c r="M106" s="33"/>
      <c r="N106" s="34"/>
      <c r="O106" s="35" t="s">
        <v>0</v>
      </c>
      <c r="P106" s="19">
        <f>ROUND((L106*J106*D106)*(F106+H106)/2,2)</f>
        <v>8.0500000000000007</v>
      </c>
      <c r="Q106" s="18" t="s">
        <v>7</v>
      </c>
      <c r="U106" s="11"/>
    </row>
    <row r="107" spans="1:21">
      <c r="B107" s="899"/>
      <c r="C107" s="900"/>
      <c r="D107" s="901"/>
      <c r="E107" s="901"/>
      <c r="F107" s="149"/>
      <c r="G107" s="150">
        <v>2</v>
      </c>
      <c r="H107" s="149"/>
      <c r="I107" s="901"/>
      <c r="J107" s="916"/>
      <c r="K107" s="901"/>
      <c r="L107" s="916"/>
      <c r="M107" s="30"/>
      <c r="N107" s="31"/>
      <c r="O107" s="32"/>
      <c r="P107" s="12"/>
      <c r="Q107" s="13"/>
      <c r="U107" s="11"/>
    </row>
    <row r="108" spans="1:21" ht="14.25">
      <c r="D108" s="15"/>
      <c r="E108" s="15"/>
      <c r="F108" s="15"/>
      <c r="G108" s="15"/>
      <c r="K108" s="15"/>
      <c r="L108" s="15"/>
      <c r="M108" s="15"/>
      <c r="N108" s="7" t="s">
        <v>8</v>
      </c>
      <c r="O108" s="1" t="s">
        <v>0</v>
      </c>
      <c r="P108" s="2">
        <f>SUM(P102:P106)</f>
        <v>10.770000000000001</v>
      </c>
      <c r="Q108" t="s">
        <v>7</v>
      </c>
    </row>
    <row r="109" spans="1:21">
      <c r="I109" s="8"/>
      <c r="J109" s="153" t="s">
        <v>332</v>
      </c>
      <c r="K109" s="891">
        <v>116</v>
      </c>
      <c r="L109" s="891"/>
      <c r="M109" s="891"/>
      <c r="N109" s="906" t="s">
        <v>273</v>
      </c>
      <c r="O109" s="907"/>
      <c r="P109" s="2"/>
      <c r="R109" s="29" t="s">
        <v>0</v>
      </c>
      <c r="S109" s="16" t="s">
        <v>11</v>
      </c>
      <c r="T109" s="11">
        <f>ROUND(P108*K109,2)</f>
        <v>1249.32</v>
      </c>
    </row>
    <row r="110" spans="1:21">
      <c r="H110" s="8"/>
      <c r="I110" s="8"/>
      <c r="J110" s="17"/>
      <c r="K110" s="17"/>
      <c r="L110" s="17"/>
      <c r="M110" s="17"/>
      <c r="N110" s="9"/>
      <c r="O110" s="10"/>
      <c r="P110" s="2"/>
    </row>
    <row r="111" spans="1:21">
      <c r="H111" s="8"/>
      <c r="I111" s="8"/>
      <c r="J111" s="17"/>
      <c r="K111" s="17"/>
      <c r="L111" s="17"/>
      <c r="M111" s="17"/>
      <c r="N111" s="9"/>
      <c r="O111" s="10"/>
      <c r="P111" s="2"/>
    </row>
    <row r="112" spans="1:21">
      <c r="H112" s="8"/>
      <c r="I112" s="8"/>
      <c r="J112" s="17"/>
      <c r="K112" s="17"/>
      <c r="L112" s="17"/>
      <c r="M112" s="17"/>
      <c r="N112" s="9"/>
      <c r="O112" s="10"/>
      <c r="P112" s="2"/>
    </row>
    <row r="113" spans="1:22" ht="39.75" customHeight="1">
      <c r="A113" s="95" t="s">
        <v>289</v>
      </c>
      <c r="B113" s="926" t="s">
        <v>40</v>
      </c>
      <c r="C113" s="926"/>
      <c r="D113" s="926"/>
      <c r="E113" s="926"/>
      <c r="F113" s="926"/>
      <c r="G113" s="926"/>
      <c r="H113" s="926"/>
      <c r="I113" s="926"/>
      <c r="J113" s="926"/>
      <c r="K113" s="926"/>
      <c r="L113" s="926"/>
      <c r="M113" s="926"/>
      <c r="N113" s="926"/>
      <c r="O113" s="926"/>
      <c r="P113" s="926"/>
      <c r="Q113" s="926"/>
    </row>
    <row r="114" spans="1:22">
      <c r="B114" s="6" t="s">
        <v>28</v>
      </c>
      <c r="C114" s="29" t="s">
        <v>0</v>
      </c>
      <c r="D114" s="20"/>
      <c r="E114" s="20"/>
      <c r="F114" s="36">
        <v>1</v>
      </c>
      <c r="G114" s="20" t="s">
        <v>1</v>
      </c>
      <c r="H114" s="7">
        <v>2.1</v>
      </c>
      <c r="I114" s="20" t="s">
        <v>1</v>
      </c>
      <c r="J114" s="7">
        <v>0.45</v>
      </c>
      <c r="K114" s="20"/>
      <c r="L114" s="20"/>
      <c r="M114" s="20"/>
      <c r="N114" s="7"/>
      <c r="O114" s="29" t="s">
        <v>0</v>
      </c>
      <c r="P114" s="2">
        <f>ROUND(F114*H114*J114,2)</f>
        <v>0.95</v>
      </c>
      <c r="Q114" t="s">
        <v>277</v>
      </c>
    </row>
    <row r="115" spans="1:22">
      <c r="B115" s="6"/>
      <c r="C115" s="29" t="s">
        <v>0</v>
      </c>
      <c r="D115" s="20"/>
      <c r="E115" s="20"/>
      <c r="F115" s="36">
        <v>2</v>
      </c>
      <c r="G115" s="20" t="s">
        <v>1</v>
      </c>
      <c r="H115" s="7">
        <v>1.2</v>
      </c>
      <c r="I115" s="20" t="s">
        <v>1</v>
      </c>
      <c r="J115" s="7">
        <v>0.45</v>
      </c>
      <c r="K115" s="20"/>
      <c r="L115" s="20"/>
      <c r="M115" s="20"/>
      <c r="N115" s="7"/>
      <c r="O115" s="29" t="s">
        <v>0</v>
      </c>
      <c r="P115" s="2">
        <f>ROUND(F115*H115*J115,2)</f>
        <v>1.08</v>
      </c>
      <c r="Q115" t="s">
        <v>277</v>
      </c>
    </row>
    <row r="116" spans="1:22">
      <c r="B116" t="s">
        <v>50</v>
      </c>
      <c r="C116" s="29" t="s">
        <v>0</v>
      </c>
      <c r="D116" s="20"/>
      <c r="E116" s="20"/>
      <c r="F116" s="20">
        <v>3</v>
      </c>
      <c r="G116" s="20" t="s">
        <v>1</v>
      </c>
      <c r="H116" s="7">
        <v>1.2</v>
      </c>
      <c r="I116" s="20" t="s">
        <v>1</v>
      </c>
      <c r="J116" s="7">
        <v>1.45</v>
      </c>
      <c r="K116" s="20"/>
      <c r="L116" s="20"/>
      <c r="M116" s="20"/>
      <c r="N116" s="20"/>
      <c r="O116" s="29" t="s">
        <v>0</v>
      </c>
      <c r="P116" s="2">
        <f>ROUND(F116*H116*J116,2)</f>
        <v>5.22</v>
      </c>
      <c r="Q116" t="s">
        <v>277</v>
      </c>
      <c r="V116" s="10"/>
    </row>
    <row r="117" spans="1:22">
      <c r="B117" t="s">
        <v>51</v>
      </c>
      <c r="C117" s="29" t="s">
        <v>0</v>
      </c>
      <c r="D117" s="20"/>
      <c r="E117" s="20"/>
      <c r="F117" s="20">
        <v>1</v>
      </c>
      <c r="G117" s="20" t="s">
        <v>1</v>
      </c>
      <c r="H117" s="7">
        <v>1.2</v>
      </c>
      <c r="I117" s="20" t="s">
        <v>1</v>
      </c>
      <c r="J117" s="7">
        <v>1.4</v>
      </c>
      <c r="K117" s="20"/>
      <c r="L117" s="20"/>
      <c r="M117" s="20"/>
      <c r="N117" s="20"/>
      <c r="O117" s="29" t="s">
        <v>0</v>
      </c>
      <c r="P117">
        <f>ROUND(F117*H117*J117,2)</f>
        <v>1.68</v>
      </c>
      <c r="Q117" t="s">
        <v>277</v>
      </c>
    </row>
    <row r="118" spans="1:22">
      <c r="B118" s="5" t="s">
        <v>15</v>
      </c>
      <c r="C118" s="29" t="s">
        <v>0</v>
      </c>
      <c r="D118" s="20"/>
      <c r="E118" s="20"/>
      <c r="F118" s="20">
        <v>1</v>
      </c>
      <c r="G118" s="20" t="s">
        <v>1</v>
      </c>
      <c r="H118" s="7">
        <v>3</v>
      </c>
      <c r="I118" s="20" t="s">
        <v>1</v>
      </c>
      <c r="J118" s="7">
        <v>1.8</v>
      </c>
      <c r="K118" s="20"/>
      <c r="L118" s="20"/>
      <c r="M118" s="20"/>
      <c r="N118" s="20"/>
      <c r="O118" s="29" t="s">
        <v>0</v>
      </c>
      <c r="P118">
        <f>ROUND(F118*H118*J118,2)</f>
        <v>5.4</v>
      </c>
      <c r="Q118" t="s">
        <v>277</v>
      </c>
    </row>
    <row r="119" spans="1:22">
      <c r="C119" s="29" t="s">
        <v>0</v>
      </c>
      <c r="D119" s="20">
        <v>1</v>
      </c>
      <c r="E119" s="20" t="s">
        <v>1</v>
      </c>
      <c r="F119" s="20">
        <v>2</v>
      </c>
      <c r="G119" s="20" t="s">
        <v>1</v>
      </c>
      <c r="H119" s="7">
        <v>0.6</v>
      </c>
      <c r="I119" s="20" t="s">
        <v>1</v>
      </c>
      <c r="J119" s="7">
        <v>0.6</v>
      </c>
      <c r="K119" s="20"/>
      <c r="L119" s="20"/>
      <c r="M119" s="20"/>
      <c r="N119" s="20"/>
      <c r="O119" s="29" t="s">
        <v>0</v>
      </c>
      <c r="P119">
        <f>ROUND(D119*F119*H119*J119,2)</f>
        <v>0.72</v>
      </c>
      <c r="Q119" t="s">
        <v>277</v>
      </c>
    </row>
    <row r="120" spans="1:22">
      <c r="C120" s="29" t="s">
        <v>0</v>
      </c>
      <c r="D120" s="20"/>
      <c r="E120" s="20"/>
      <c r="F120" s="20">
        <v>2</v>
      </c>
      <c r="G120" s="20" t="s">
        <v>1</v>
      </c>
      <c r="H120" s="7">
        <v>2.5</v>
      </c>
      <c r="I120" s="20" t="s">
        <v>1</v>
      </c>
      <c r="J120" s="7">
        <v>1.8</v>
      </c>
      <c r="K120" s="20"/>
      <c r="L120" s="20"/>
      <c r="M120" s="20"/>
      <c r="N120" s="20"/>
      <c r="O120" s="29" t="s">
        <v>0</v>
      </c>
      <c r="P120">
        <f>ROUND(F120*H120*J120,2)</f>
        <v>9</v>
      </c>
      <c r="Q120" t="s">
        <v>277</v>
      </c>
    </row>
    <row r="121" spans="1:22">
      <c r="C121" s="29" t="s">
        <v>0</v>
      </c>
      <c r="D121" s="20">
        <v>2</v>
      </c>
      <c r="E121" s="20" t="s">
        <v>1</v>
      </c>
      <c r="F121" s="20">
        <v>2</v>
      </c>
      <c r="G121" s="20" t="s">
        <v>1</v>
      </c>
      <c r="H121" s="7">
        <v>0.6</v>
      </c>
      <c r="I121" s="20" t="s">
        <v>1</v>
      </c>
      <c r="J121" s="7">
        <v>0.6</v>
      </c>
      <c r="K121" s="20"/>
      <c r="L121" s="20"/>
      <c r="M121" s="20"/>
      <c r="N121" s="20"/>
      <c r="O121" s="29" t="s">
        <v>0</v>
      </c>
      <c r="P121">
        <f>ROUND(D121*F121*H121*J121,2)</f>
        <v>1.44</v>
      </c>
      <c r="Q121" t="s">
        <v>277</v>
      </c>
    </row>
    <row r="122" spans="1:22">
      <c r="B122" t="s">
        <v>6</v>
      </c>
      <c r="C122" s="29" t="s">
        <v>0</v>
      </c>
      <c r="D122" s="20"/>
      <c r="E122" s="20"/>
      <c r="F122" s="20">
        <v>1</v>
      </c>
      <c r="G122" s="20" t="s">
        <v>1</v>
      </c>
      <c r="H122" s="7">
        <v>3</v>
      </c>
      <c r="I122" s="20" t="s">
        <v>1</v>
      </c>
      <c r="J122" s="7">
        <v>0.7</v>
      </c>
      <c r="K122" s="20"/>
      <c r="L122" s="20"/>
      <c r="M122" s="20"/>
      <c r="N122" s="20"/>
      <c r="O122" s="29" t="s">
        <v>0</v>
      </c>
      <c r="P122" s="2">
        <f>ROUND(F122*H122*J122,2)</f>
        <v>2.1</v>
      </c>
      <c r="Q122" t="s">
        <v>277</v>
      </c>
    </row>
    <row r="123" spans="1:22">
      <c r="C123" s="29" t="s">
        <v>0</v>
      </c>
      <c r="D123" s="20"/>
      <c r="E123" s="20"/>
      <c r="F123" s="20">
        <v>1</v>
      </c>
      <c r="G123" s="20" t="s">
        <v>1</v>
      </c>
      <c r="H123" s="7">
        <v>3.6</v>
      </c>
      <c r="I123" s="20" t="s">
        <v>1</v>
      </c>
      <c r="J123" s="7">
        <v>0.6</v>
      </c>
      <c r="K123" s="20"/>
      <c r="L123" s="20"/>
      <c r="M123" s="20"/>
      <c r="N123" s="20"/>
      <c r="O123" s="29" t="s">
        <v>0</v>
      </c>
      <c r="P123" s="2">
        <f>ROUND(F123*H123*J123,2)</f>
        <v>2.16</v>
      </c>
      <c r="Q123" t="s">
        <v>277</v>
      </c>
    </row>
    <row r="124" spans="1:22">
      <c r="C124" s="29" t="s">
        <v>0</v>
      </c>
      <c r="D124" s="20"/>
      <c r="E124" s="20"/>
      <c r="F124" s="20">
        <v>1</v>
      </c>
      <c r="G124" s="20" t="s">
        <v>1</v>
      </c>
      <c r="H124" s="7">
        <v>4.2</v>
      </c>
      <c r="I124" s="20" t="s">
        <v>1</v>
      </c>
      <c r="J124" s="7">
        <v>0.6</v>
      </c>
      <c r="K124" s="20"/>
      <c r="L124" s="20"/>
      <c r="M124" s="20"/>
      <c r="N124" s="20"/>
      <c r="O124" s="29" t="s">
        <v>0</v>
      </c>
      <c r="P124" s="2">
        <f>ROUND(F124*H124*J124,2)</f>
        <v>2.52</v>
      </c>
      <c r="Q124" t="s">
        <v>277</v>
      </c>
    </row>
    <row r="125" spans="1:22">
      <c r="C125" s="29" t="s">
        <v>0</v>
      </c>
      <c r="D125" s="20"/>
      <c r="E125" s="20"/>
      <c r="F125" s="20">
        <v>1</v>
      </c>
      <c r="G125" s="20" t="s">
        <v>1</v>
      </c>
      <c r="H125" s="7">
        <v>4.8</v>
      </c>
      <c r="I125" s="20" t="s">
        <v>1</v>
      </c>
      <c r="J125" s="34">
        <v>0.6</v>
      </c>
      <c r="K125" s="33"/>
      <c r="L125" s="33"/>
      <c r="M125" s="33"/>
      <c r="N125" s="33"/>
      <c r="O125" s="35" t="s">
        <v>0</v>
      </c>
      <c r="P125" s="19">
        <f>ROUND(F125*H125*J125,2)</f>
        <v>2.88</v>
      </c>
      <c r="Q125" t="s">
        <v>277</v>
      </c>
      <c r="R125" s="18"/>
      <c r="S125" s="18"/>
    </row>
    <row r="126" spans="1:22">
      <c r="C126" s="29" t="s">
        <v>0</v>
      </c>
      <c r="D126" s="20"/>
      <c r="E126" s="20"/>
      <c r="F126" s="20">
        <v>3</v>
      </c>
      <c r="G126" s="20" t="s">
        <v>1</v>
      </c>
      <c r="H126" s="7">
        <v>3</v>
      </c>
      <c r="I126" s="20" t="s">
        <v>1</v>
      </c>
      <c r="J126" s="7">
        <v>0.3</v>
      </c>
      <c r="K126" s="30"/>
      <c r="L126" s="30"/>
      <c r="M126" s="30"/>
      <c r="N126" s="30"/>
      <c r="O126" s="32" t="s">
        <v>0</v>
      </c>
      <c r="P126" s="12">
        <f>ROUND(F126*H126*J126,2)</f>
        <v>2.7</v>
      </c>
      <c r="Q126" s="13" t="s">
        <v>277</v>
      </c>
    </row>
    <row r="127" spans="1:22" ht="12.75" customHeight="1">
      <c r="N127" s="7" t="s">
        <v>8</v>
      </c>
      <c r="O127" s="1" t="s">
        <v>0</v>
      </c>
      <c r="P127" s="2">
        <f>SUM(P114:P126)</f>
        <v>37.850000000000009</v>
      </c>
      <c r="Q127" t="s">
        <v>277</v>
      </c>
    </row>
    <row r="128" spans="1:22">
      <c r="I128" s="8"/>
      <c r="J128" s="153" t="s">
        <v>332</v>
      </c>
      <c r="K128" s="891">
        <v>76</v>
      </c>
      <c r="L128" s="891"/>
      <c r="M128" s="891"/>
      <c r="N128" s="906" t="s">
        <v>276</v>
      </c>
      <c r="O128" s="907"/>
      <c r="P128" s="2"/>
      <c r="R128" s="29" t="s">
        <v>0</v>
      </c>
      <c r="S128" s="16" t="s">
        <v>11</v>
      </c>
      <c r="T128" s="11">
        <f>ROUND(P127*K128,2)</f>
        <v>2876.6</v>
      </c>
    </row>
    <row r="129" spans="1:20">
      <c r="I129" s="8"/>
      <c r="J129" s="8"/>
      <c r="K129" s="8"/>
      <c r="L129" s="17"/>
      <c r="M129" s="17"/>
      <c r="N129" s="9"/>
      <c r="O129" s="10"/>
      <c r="P129" s="2"/>
      <c r="R129" s="29"/>
      <c r="S129" s="16"/>
      <c r="T129" s="11"/>
    </row>
    <row r="130" spans="1:20">
      <c r="I130" s="8"/>
      <c r="J130" s="8"/>
      <c r="K130" s="8"/>
      <c r="L130" s="17"/>
      <c r="M130" s="17"/>
      <c r="N130" s="9"/>
      <c r="O130" s="10"/>
      <c r="P130" s="2"/>
      <c r="R130" s="29"/>
      <c r="S130" s="16"/>
      <c r="T130" s="11"/>
    </row>
    <row r="131" spans="1:20">
      <c r="I131" s="8"/>
      <c r="J131" s="8"/>
      <c r="K131" s="8"/>
      <c r="L131" s="17"/>
      <c r="M131" s="17"/>
      <c r="N131" s="9"/>
      <c r="O131" s="10"/>
      <c r="P131" s="19"/>
      <c r="Q131" s="18"/>
      <c r="R131" s="35"/>
      <c r="S131" s="25"/>
      <c r="T131" s="57"/>
    </row>
    <row r="132" spans="1:20" ht="27.75" customHeight="1">
      <c r="A132" s="128" t="s">
        <v>41</v>
      </c>
      <c r="B132" s="924" t="s">
        <v>78</v>
      </c>
      <c r="C132" s="924"/>
      <c r="D132" s="924"/>
      <c r="E132" s="924"/>
      <c r="F132" s="924"/>
      <c r="G132" s="924"/>
      <c r="H132" s="924"/>
      <c r="I132" s="924"/>
      <c r="J132" s="924"/>
      <c r="K132" s="924"/>
      <c r="L132" s="924"/>
      <c r="M132" s="924"/>
      <c r="N132" s="924"/>
      <c r="O132" s="924"/>
      <c r="P132" s="924"/>
      <c r="Q132" s="924"/>
    </row>
    <row r="133" spans="1:20" ht="12.75" customHeight="1">
      <c r="A133" s="55"/>
      <c r="B133" s="119" t="s">
        <v>297</v>
      </c>
      <c r="C133" s="116"/>
      <c r="D133" s="116"/>
      <c r="E133" s="116"/>
      <c r="F133" s="116"/>
      <c r="G133" s="116"/>
      <c r="H133" s="116"/>
      <c r="I133" s="116"/>
      <c r="J133" s="116"/>
      <c r="K133" s="116"/>
      <c r="L133" s="116"/>
      <c r="M133" s="116"/>
      <c r="N133" s="116"/>
      <c r="O133" s="116"/>
      <c r="P133" s="116"/>
      <c r="Q133" s="116"/>
    </row>
    <row r="134" spans="1:20" ht="12.75" customHeight="1">
      <c r="A134" s="55"/>
      <c r="B134" s="119" t="s">
        <v>290</v>
      </c>
      <c r="C134" s="116"/>
      <c r="D134" s="116"/>
      <c r="E134" s="116"/>
      <c r="F134" s="116"/>
      <c r="G134" s="121" t="s">
        <v>0</v>
      </c>
      <c r="H134" s="887">
        <f>P30*1</f>
        <v>5.75</v>
      </c>
      <c r="I134" s="887"/>
      <c r="J134" s="119" t="s">
        <v>291</v>
      </c>
      <c r="L134" s="122">
        <v>1.2</v>
      </c>
      <c r="M134" s="119" t="s">
        <v>292</v>
      </c>
      <c r="N134" s="116"/>
      <c r="O134" s="120" t="s">
        <v>0</v>
      </c>
      <c r="P134" s="123">
        <f>ROUND(H134*L134,2)</f>
        <v>6.9</v>
      </c>
      <c r="Q134" s="116" t="s">
        <v>275</v>
      </c>
    </row>
    <row r="135" spans="1:20" ht="12.75" customHeight="1">
      <c r="A135" s="55"/>
      <c r="B135" s="119" t="s">
        <v>293</v>
      </c>
      <c r="C135" s="116"/>
      <c r="D135" s="116"/>
      <c r="E135" s="116"/>
      <c r="F135" s="116"/>
      <c r="G135" s="121" t="s">
        <v>0</v>
      </c>
      <c r="H135" s="887">
        <f>P39*1</f>
        <v>2.5400000000000005</v>
      </c>
      <c r="I135" s="887"/>
      <c r="J135" s="119" t="s">
        <v>291</v>
      </c>
      <c r="L135" s="122">
        <v>0.85</v>
      </c>
      <c r="M135" s="119" t="s">
        <v>292</v>
      </c>
      <c r="N135" s="116"/>
      <c r="O135" s="120" t="s">
        <v>0</v>
      </c>
      <c r="P135" s="123">
        <f>ROUND(H135*L135,2)</f>
        <v>2.16</v>
      </c>
      <c r="Q135" s="116" t="s">
        <v>275</v>
      </c>
    </row>
    <row r="136" spans="1:20" ht="12.75" customHeight="1">
      <c r="A136" s="55"/>
      <c r="B136" s="119" t="s">
        <v>294</v>
      </c>
      <c r="C136" s="116"/>
      <c r="D136" s="116"/>
      <c r="E136" s="116"/>
      <c r="F136" s="116"/>
      <c r="G136" s="121" t="s">
        <v>0</v>
      </c>
      <c r="H136" s="887">
        <f>P67*1</f>
        <v>38.939999999999991</v>
      </c>
      <c r="I136" s="887"/>
      <c r="J136" s="119" t="s">
        <v>291</v>
      </c>
      <c r="L136" s="122">
        <v>1.1599999999999999</v>
      </c>
      <c r="M136" s="119" t="s">
        <v>292</v>
      </c>
      <c r="N136" s="116"/>
      <c r="O136" s="120" t="s">
        <v>0</v>
      </c>
      <c r="P136" s="123">
        <f>ROUND(H136*L136,2)</f>
        <v>45.17</v>
      </c>
      <c r="Q136" s="116" t="s">
        <v>275</v>
      </c>
    </row>
    <row r="137" spans="1:20" ht="12.75" customHeight="1">
      <c r="A137" s="55"/>
      <c r="B137" s="119" t="s">
        <v>295</v>
      </c>
      <c r="C137" s="116"/>
      <c r="D137" s="116"/>
      <c r="E137" s="116"/>
      <c r="F137" s="116"/>
      <c r="G137" s="121" t="s">
        <v>0</v>
      </c>
      <c r="H137" s="887">
        <f>P93*1</f>
        <v>13.690000000000001</v>
      </c>
      <c r="I137" s="887"/>
      <c r="J137" s="119" t="s">
        <v>291</v>
      </c>
      <c r="L137" s="122">
        <v>1.2</v>
      </c>
      <c r="M137" s="124" t="s">
        <v>292</v>
      </c>
      <c r="N137" s="104"/>
      <c r="O137" s="125" t="s">
        <v>0</v>
      </c>
      <c r="P137" s="126">
        <f>ROUND(H137*L137,2)</f>
        <v>16.43</v>
      </c>
      <c r="Q137" s="104" t="s">
        <v>275</v>
      </c>
    </row>
    <row r="138" spans="1:20" ht="12.75" customHeight="1">
      <c r="A138" s="55"/>
      <c r="B138" s="116"/>
      <c r="C138" s="116"/>
      <c r="D138" s="116"/>
      <c r="E138" s="116"/>
      <c r="F138" s="116"/>
      <c r="G138" s="116"/>
      <c r="H138" s="116"/>
      <c r="I138" s="116"/>
      <c r="J138" s="116"/>
      <c r="K138" s="116"/>
      <c r="L138" s="116"/>
      <c r="M138" s="897" t="s">
        <v>8</v>
      </c>
      <c r="N138" s="897"/>
      <c r="O138" s="120" t="s">
        <v>0</v>
      </c>
      <c r="P138" s="123">
        <f>SUM(P134:P137)</f>
        <v>70.66</v>
      </c>
      <c r="Q138" s="116" t="s">
        <v>275</v>
      </c>
    </row>
    <row r="139" spans="1:20" ht="12.75" customHeight="1">
      <c r="A139" s="55"/>
      <c r="B139" s="116"/>
      <c r="C139" s="116"/>
      <c r="D139" s="116"/>
      <c r="E139" s="116"/>
      <c r="F139" s="116"/>
      <c r="G139" s="116"/>
      <c r="H139" s="116"/>
      <c r="I139" s="116"/>
      <c r="J139" s="116"/>
      <c r="K139" s="116"/>
      <c r="L139" s="116"/>
      <c r="M139" s="116"/>
      <c r="N139" s="116"/>
      <c r="O139" s="116"/>
      <c r="P139" s="116"/>
      <c r="Q139" s="116"/>
    </row>
    <row r="140" spans="1:20" ht="12.75" customHeight="1">
      <c r="A140" s="55"/>
      <c r="B140" s="119" t="s">
        <v>296</v>
      </c>
      <c r="C140" s="116"/>
      <c r="D140" s="116"/>
      <c r="E140" s="116"/>
      <c r="F140" s="116"/>
      <c r="G140" s="116"/>
      <c r="H140" s="116"/>
      <c r="I140" s="116"/>
      <c r="J140" s="116"/>
      <c r="K140" s="116"/>
      <c r="L140" s="116"/>
      <c r="M140" s="116"/>
      <c r="N140" s="116"/>
      <c r="O140" s="116"/>
      <c r="P140" s="116"/>
      <c r="Q140" s="116"/>
    </row>
    <row r="141" spans="1:20" ht="12.75" customHeight="1">
      <c r="A141" s="55"/>
      <c r="B141" s="119" t="s">
        <v>298</v>
      </c>
      <c r="C141" s="116"/>
      <c r="D141" s="116"/>
      <c r="E141" s="116"/>
      <c r="F141" s="116"/>
      <c r="G141" s="121" t="s">
        <v>0</v>
      </c>
      <c r="H141" s="887">
        <f>H135*1</f>
        <v>2.5400000000000005</v>
      </c>
      <c r="I141" s="887"/>
      <c r="J141" s="119" t="s">
        <v>291</v>
      </c>
      <c r="L141" s="122">
        <v>0.45</v>
      </c>
      <c r="M141" s="119" t="s">
        <v>292</v>
      </c>
      <c r="N141" s="116"/>
      <c r="O141" s="120" t="s">
        <v>0</v>
      </c>
      <c r="P141" s="123">
        <f>ROUND(H141*L141,2)</f>
        <v>1.1399999999999999</v>
      </c>
      <c r="Q141" s="116" t="s">
        <v>275</v>
      </c>
    </row>
    <row r="142" spans="1:20" ht="12.75" customHeight="1">
      <c r="A142" s="55"/>
      <c r="B142" s="119" t="s">
        <v>299</v>
      </c>
      <c r="C142" s="116"/>
      <c r="D142" s="116"/>
      <c r="E142" s="116"/>
      <c r="F142" s="116"/>
      <c r="G142" s="121" t="s">
        <v>0</v>
      </c>
      <c r="H142" s="887">
        <v>38.93</v>
      </c>
      <c r="I142" s="887"/>
      <c r="J142" s="119" t="s">
        <v>291</v>
      </c>
      <c r="L142" s="122">
        <v>0.35</v>
      </c>
      <c r="M142" s="119" t="s">
        <v>292</v>
      </c>
      <c r="N142" s="116"/>
      <c r="O142" s="120" t="s">
        <v>0</v>
      </c>
      <c r="P142" s="123">
        <f>ROUND(H142*L142,2)</f>
        <v>13.63</v>
      </c>
      <c r="Q142" s="116" t="s">
        <v>275</v>
      </c>
    </row>
    <row r="143" spans="1:20" ht="12.75" customHeight="1">
      <c r="A143" s="55"/>
      <c r="B143" s="119" t="s">
        <v>300</v>
      </c>
      <c r="C143" s="116"/>
      <c r="D143" s="116"/>
      <c r="E143" s="116"/>
      <c r="F143" s="116"/>
      <c r="G143" s="121" t="s">
        <v>0</v>
      </c>
      <c r="H143" s="887">
        <f>P127*1</f>
        <v>37.850000000000009</v>
      </c>
      <c r="I143" s="887"/>
      <c r="J143" s="146" t="s">
        <v>331</v>
      </c>
      <c r="L143" s="127">
        <v>1.4999999999999999E-2</v>
      </c>
      <c r="M143" s="124" t="s">
        <v>301</v>
      </c>
      <c r="N143" s="104"/>
      <c r="O143" s="125" t="s">
        <v>0</v>
      </c>
      <c r="P143" s="126">
        <f>ROUND(H143*L143,2)</f>
        <v>0.56999999999999995</v>
      </c>
      <c r="Q143" s="104" t="s">
        <v>275</v>
      </c>
    </row>
    <row r="144" spans="1:20" ht="12.75" customHeight="1">
      <c r="A144" s="55"/>
      <c r="B144" s="116"/>
      <c r="C144" s="116"/>
      <c r="D144" s="116"/>
      <c r="E144" s="116"/>
      <c r="F144" s="116"/>
      <c r="G144" s="116"/>
      <c r="H144" s="116"/>
      <c r="I144" s="116"/>
      <c r="J144" s="116"/>
      <c r="K144" s="116"/>
      <c r="L144" s="116"/>
      <c r="M144" s="897" t="s">
        <v>8</v>
      </c>
      <c r="N144" s="897"/>
      <c r="O144" s="120" t="s">
        <v>0</v>
      </c>
      <c r="P144" s="123">
        <f>SUM(P141:P143)</f>
        <v>15.340000000000002</v>
      </c>
      <c r="Q144" s="116" t="s">
        <v>275</v>
      </c>
    </row>
    <row r="145" spans="1:20" ht="12.75" customHeight="1">
      <c r="A145" s="55"/>
      <c r="B145" s="116"/>
      <c r="C145" s="116"/>
      <c r="D145" s="116"/>
      <c r="E145" s="116"/>
      <c r="F145" s="116"/>
      <c r="G145" s="116"/>
      <c r="H145" s="116"/>
      <c r="I145" s="116"/>
      <c r="J145" s="116"/>
      <c r="K145" s="116"/>
      <c r="L145" s="116"/>
      <c r="M145" s="116"/>
      <c r="N145" s="116"/>
      <c r="O145" s="116"/>
      <c r="P145" s="116"/>
      <c r="Q145" s="116"/>
    </row>
    <row r="146" spans="1:20" ht="12.75" customHeight="1">
      <c r="A146" s="55"/>
      <c r="B146" s="116"/>
      <c r="C146" s="116"/>
      <c r="D146" s="116"/>
      <c r="E146" s="116"/>
      <c r="F146" s="116"/>
      <c r="G146" s="116"/>
      <c r="H146" s="116"/>
      <c r="I146" s="116"/>
      <c r="J146" s="116"/>
      <c r="K146" s="116"/>
      <c r="L146" s="116"/>
      <c r="M146" s="116"/>
      <c r="N146" s="116"/>
      <c r="O146" s="116"/>
      <c r="P146" s="104"/>
      <c r="Q146" s="104"/>
      <c r="R146" s="13"/>
      <c r="S146" s="13"/>
      <c r="T146" s="13"/>
    </row>
    <row r="147" spans="1:20" ht="12.75" customHeight="1">
      <c r="A147" s="55"/>
      <c r="B147" s="116"/>
      <c r="C147" s="116"/>
      <c r="D147" s="116"/>
      <c r="E147" s="116"/>
      <c r="F147" s="116"/>
      <c r="G147" s="116"/>
      <c r="H147" s="116"/>
      <c r="I147" s="116"/>
      <c r="J147" s="116"/>
      <c r="K147" s="116"/>
      <c r="L147" s="116"/>
      <c r="M147" s="116"/>
      <c r="N147" s="116"/>
      <c r="O147" s="116"/>
      <c r="P147" s="913" t="s">
        <v>24</v>
      </c>
      <c r="Q147" s="913"/>
      <c r="R147" s="50" t="s">
        <v>0</v>
      </c>
      <c r="S147" s="49" t="s">
        <v>11</v>
      </c>
      <c r="T147" s="28">
        <f>SUM(T99:T146)</f>
        <v>209385.1</v>
      </c>
    </row>
    <row r="148" spans="1:20" ht="12.75" customHeight="1">
      <c r="A148" s="55"/>
      <c r="B148" s="116"/>
      <c r="C148" s="116"/>
      <c r="D148" s="116"/>
      <c r="E148" s="116"/>
      <c r="F148" s="116"/>
      <c r="G148" s="116"/>
      <c r="H148" s="116"/>
      <c r="I148" s="116"/>
      <c r="J148" s="116"/>
      <c r="K148" s="116"/>
      <c r="L148" s="116"/>
      <c r="M148" s="116"/>
      <c r="N148" s="116"/>
      <c r="O148" s="116"/>
      <c r="P148" s="116"/>
      <c r="Q148" s="116"/>
    </row>
    <row r="149" spans="1:20" ht="12.75" customHeight="1">
      <c r="A149" s="55"/>
      <c r="B149" s="116"/>
      <c r="C149" s="116"/>
      <c r="D149" s="116"/>
      <c r="E149" s="116"/>
      <c r="F149" s="116"/>
      <c r="G149" s="116"/>
      <c r="H149" s="116"/>
      <c r="I149" s="116"/>
      <c r="J149" s="116"/>
      <c r="K149" s="116"/>
      <c r="L149" s="116"/>
      <c r="M149" s="116"/>
      <c r="N149" s="116"/>
      <c r="O149" s="116"/>
      <c r="P149" s="116"/>
      <c r="Q149" s="116"/>
    </row>
    <row r="150" spans="1:20" ht="12.75" customHeight="1">
      <c r="A150" s="55"/>
      <c r="B150" s="116"/>
      <c r="C150" s="116"/>
      <c r="D150" s="116"/>
      <c r="E150" s="116"/>
      <c r="F150" s="116"/>
      <c r="G150" s="116"/>
      <c r="H150" s="116"/>
      <c r="I150" s="116"/>
      <c r="J150" s="116"/>
      <c r="K150" s="116"/>
      <c r="L150" s="116"/>
      <c r="M150" s="116"/>
      <c r="N150" s="116"/>
      <c r="O150" s="116"/>
      <c r="P150" s="116"/>
      <c r="Q150" s="116"/>
    </row>
    <row r="151" spans="1:20" ht="12.75" customHeight="1">
      <c r="A151" s="55"/>
      <c r="B151" s="116"/>
      <c r="C151" s="116"/>
      <c r="D151" s="116"/>
      <c r="E151" s="116"/>
      <c r="F151" s="116"/>
      <c r="G151" s="116"/>
      <c r="H151" s="116"/>
      <c r="I151" s="116"/>
      <c r="J151" s="116"/>
      <c r="K151" s="116"/>
      <c r="L151" s="116"/>
      <c r="M151" s="116"/>
      <c r="N151" s="116"/>
      <c r="O151" s="116"/>
      <c r="P151" s="913" t="s">
        <v>25</v>
      </c>
      <c r="Q151" s="913"/>
      <c r="R151" s="50" t="s">
        <v>0</v>
      </c>
      <c r="S151" s="49" t="s">
        <v>11</v>
      </c>
      <c r="T151" s="28">
        <f>T147*1</f>
        <v>209385.1</v>
      </c>
    </row>
    <row r="152" spans="1:20">
      <c r="B152" s="56"/>
      <c r="C152" s="56"/>
      <c r="D152" s="56"/>
      <c r="E152" s="56"/>
      <c r="F152" s="56"/>
      <c r="G152" s="56"/>
      <c r="H152" s="56"/>
      <c r="I152" s="56"/>
      <c r="J152" s="56"/>
      <c r="K152" s="51"/>
      <c r="L152" s="51"/>
      <c r="M152" s="51"/>
      <c r="N152" s="51"/>
      <c r="O152" s="51"/>
      <c r="P152" s="18"/>
      <c r="Q152" s="56"/>
      <c r="R152" s="51"/>
      <c r="S152" s="51"/>
    </row>
    <row r="153" spans="1:20">
      <c r="A153" s="20">
        <v>1.2</v>
      </c>
      <c r="B153" s="61" t="s">
        <v>42</v>
      </c>
      <c r="C153" s="61"/>
      <c r="D153" s="61"/>
      <c r="E153" s="61"/>
      <c r="F153" s="61"/>
      <c r="G153" s="61"/>
      <c r="H153" s="61"/>
      <c r="I153" s="61"/>
      <c r="J153" s="61"/>
      <c r="K153" s="62"/>
      <c r="L153" s="62"/>
      <c r="M153" s="62"/>
      <c r="N153" s="62"/>
      <c r="O153" s="51"/>
      <c r="P153" s="18"/>
      <c r="Q153" s="56"/>
      <c r="R153" s="51"/>
      <c r="S153" s="51"/>
    </row>
    <row r="154" spans="1:20">
      <c r="B154" s="61" t="s">
        <v>269</v>
      </c>
      <c r="C154" s="61"/>
      <c r="D154" s="61"/>
      <c r="E154" s="61"/>
      <c r="F154" s="61"/>
      <c r="G154" s="61"/>
      <c r="H154" s="61"/>
      <c r="I154" s="61"/>
      <c r="J154" s="61"/>
      <c r="K154" s="928">
        <f>P138*1</f>
        <v>70.66</v>
      </c>
      <c r="L154" s="929"/>
      <c r="M154" s="909" t="s">
        <v>272</v>
      </c>
      <c r="N154" s="909"/>
      <c r="O154" s="51"/>
      <c r="P154" s="18"/>
      <c r="Q154" s="56"/>
      <c r="R154" s="51"/>
      <c r="S154" s="51"/>
    </row>
    <row r="155" spans="1:20">
      <c r="B155" s="61" t="s">
        <v>270</v>
      </c>
      <c r="C155" s="61"/>
      <c r="D155" s="61"/>
      <c r="E155" s="61"/>
      <c r="F155" s="61"/>
      <c r="G155" s="61"/>
      <c r="H155" s="63"/>
      <c r="I155" s="63"/>
      <c r="J155" s="63"/>
      <c r="K155" s="930">
        <f>P144*1</f>
        <v>15.340000000000002</v>
      </c>
      <c r="L155" s="930"/>
      <c r="M155" s="931" t="s">
        <v>272</v>
      </c>
      <c r="N155" s="931"/>
      <c r="O155" s="51"/>
      <c r="P155" s="18"/>
      <c r="Q155" s="56"/>
      <c r="R155" s="51"/>
      <c r="S155" s="51"/>
    </row>
    <row r="156" spans="1:20">
      <c r="B156" s="61"/>
      <c r="C156" s="61"/>
      <c r="D156" s="61"/>
      <c r="E156" s="61"/>
      <c r="F156" s="61"/>
      <c r="G156" s="61"/>
      <c r="H156" s="61" t="s">
        <v>271</v>
      </c>
      <c r="I156" s="61"/>
      <c r="J156" s="61"/>
      <c r="K156" s="917">
        <f>K154+K155</f>
        <v>86</v>
      </c>
      <c r="L156" s="918"/>
      <c r="M156" s="909" t="s">
        <v>272</v>
      </c>
      <c r="N156" s="909"/>
      <c r="O156" s="51"/>
      <c r="P156" s="18"/>
      <c r="Q156" s="56"/>
      <c r="R156" s="51"/>
      <c r="S156" s="51"/>
    </row>
    <row r="157" spans="1:20">
      <c r="B157" s="56"/>
      <c r="C157" s="56"/>
      <c r="D157" s="56"/>
      <c r="E157" s="56"/>
      <c r="F157" s="56"/>
      <c r="G157" s="56"/>
      <c r="H157" s="56"/>
      <c r="I157" s="56"/>
      <c r="J157" s="886" t="s">
        <v>332</v>
      </c>
      <c r="K157" s="886"/>
      <c r="L157" s="891">
        <v>95</v>
      </c>
      <c r="M157" s="891"/>
      <c r="N157" s="9" t="s">
        <v>273</v>
      </c>
      <c r="O157" s="10"/>
      <c r="P157" s="2"/>
      <c r="R157" s="29" t="s">
        <v>0</v>
      </c>
      <c r="S157" s="16" t="s">
        <v>11</v>
      </c>
      <c r="T157" s="66">
        <f>ROUND(L157*K156,2)</f>
        <v>8170</v>
      </c>
    </row>
    <row r="158" spans="1:20">
      <c r="B158" s="56"/>
      <c r="C158" s="56"/>
      <c r="D158" s="56"/>
      <c r="E158" s="56"/>
      <c r="F158" s="56"/>
      <c r="G158" s="56"/>
      <c r="H158" s="56"/>
      <c r="I158" s="56"/>
      <c r="J158" s="8"/>
      <c r="K158" s="8"/>
      <c r="L158" s="17"/>
      <c r="M158" s="17"/>
      <c r="N158" s="9"/>
      <c r="O158" s="10"/>
      <c r="P158" s="2"/>
      <c r="R158" s="29"/>
      <c r="S158" s="16"/>
      <c r="T158" s="66"/>
    </row>
    <row r="159" spans="1:20">
      <c r="B159" s="56"/>
      <c r="C159" s="56"/>
      <c r="D159" s="56"/>
      <c r="E159" s="56"/>
      <c r="F159" s="56"/>
      <c r="G159" s="56"/>
      <c r="H159" s="56"/>
      <c r="I159" s="56"/>
      <c r="J159" s="56"/>
      <c r="K159" s="51"/>
      <c r="L159" s="51"/>
      <c r="M159" s="51"/>
      <c r="N159" s="51"/>
      <c r="O159" s="51"/>
      <c r="P159" s="18"/>
      <c r="Q159" s="56"/>
      <c r="R159" s="51"/>
      <c r="S159" s="51"/>
    </row>
    <row r="160" spans="1:20">
      <c r="B160" s="56"/>
      <c r="C160" s="56"/>
      <c r="D160" s="56"/>
      <c r="E160" s="56"/>
      <c r="F160" s="56"/>
      <c r="G160" s="56"/>
      <c r="H160" s="56"/>
      <c r="I160" s="56"/>
      <c r="J160" s="56"/>
      <c r="K160" s="51"/>
      <c r="L160" s="51"/>
      <c r="M160" s="51"/>
      <c r="N160" s="51"/>
      <c r="O160" s="51"/>
      <c r="P160" s="18"/>
      <c r="Q160" s="56"/>
      <c r="R160" s="51"/>
      <c r="S160" s="51"/>
    </row>
    <row r="161" spans="1:20">
      <c r="A161" s="20">
        <v>1.3</v>
      </c>
      <c r="B161" s="56" t="s">
        <v>46</v>
      </c>
      <c r="C161" s="56"/>
      <c r="D161" s="56"/>
      <c r="E161" s="56"/>
      <c r="F161" s="56"/>
      <c r="G161" s="56"/>
      <c r="H161" s="56"/>
      <c r="I161" s="56"/>
      <c r="J161" s="56"/>
      <c r="K161" s="51"/>
      <c r="L161" s="51"/>
      <c r="M161" s="51"/>
      <c r="N161" s="51"/>
      <c r="O161" s="51"/>
      <c r="P161" s="18"/>
      <c r="Q161" s="56"/>
      <c r="R161" s="51"/>
      <c r="S161" s="51"/>
    </row>
    <row r="162" spans="1:20" ht="14.25">
      <c r="B162" s="3" t="s">
        <v>306</v>
      </c>
    </row>
    <row r="163" spans="1:20">
      <c r="A163" s="16"/>
      <c r="C163" s="10" t="s">
        <v>307</v>
      </c>
      <c r="D163" s="10"/>
      <c r="E163" s="10"/>
      <c r="F163" s="10"/>
      <c r="G163" s="10"/>
      <c r="H163" s="10"/>
      <c r="I163" s="10"/>
      <c r="J163" s="10"/>
      <c r="K163" s="10"/>
    </row>
    <row r="164" spans="1:20">
      <c r="C164" t="s">
        <v>308</v>
      </c>
      <c r="L164" s="17"/>
      <c r="M164" s="17"/>
      <c r="N164" s="17"/>
      <c r="O164" s="9"/>
      <c r="P164" s="10"/>
      <c r="T164" s="11"/>
    </row>
    <row r="165" spans="1:20" ht="12.75" customHeight="1">
      <c r="C165" t="s">
        <v>56</v>
      </c>
      <c r="F165" s="22"/>
      <c r="I165" s="24"/>
      <c r="J165" s="24"/>
      <c r="K165" s="47"/>
      <c r="L165" s="17"/>
      <c r="M165" s="60" t="s">
        <v>0</v>
      </c>
      <c r="N165" s="891">
        <f>$K$154</f>
        <v>70.66</v>
      </c>
      <c r="O165" s="891"/>
      <c r="P165" s="909" t="s">
        <v>272</v>
      </c>
      <c r="Q165" s="909"/>
      <c r="R165" s="18"/>
      <c r="S165" s="25"/>
      <c r="T165" s="57"/>
    </row>
    <row r="166" spans="1:20" ht="12.75" customHeight="1">
      <c r="C166" t="s">
        <v>62</v>
      </c>
      <c r="F166" s="22"/>
      <c r="I166" s="24"/>
      <c r="J166" s="24"/>
      <c r="K166" s="47"/>
      <c r="L166" s="17"/>
      <c r="M166" s="60"/>
      <c r="N166" s="17"/>
      <c r="O166" s="17"/>
      <c r="P166" s="64"/>
      <c r="Q166" s="18"/>
      <c r="R166" s="18"/>
      <c r="S166" s="25"/>
      <c r="T166" s="57"/>
    </row>
    <row r="167" spans="1:20" ht="12.75" customHeight="1">
      <c r="C167" t="s">
        <v>309</v>
      </c>
      <c r="F167" s="22"/>
      <c r="I167" s="24"/>
      <c r="J167" s="24"/>
      <c r="K167" s="47"/>
      <c r="L167" s="17"/>
      <c r="M167" s="60"/>
      <c r="N167" s="17"/>
      <c r="O167" s="17"/>
      <c r="P167" s="64"/>
      <c r="Q167" s="18"/>
      <c r="R167" s="18"/>
      <c r="S167" s="25"/>
      <c r="T167" s="57"/>
    </row>
    <row r="168" spans="1:20">
      <c r="D168" s="1" t="s">
        <v>0</v>
      </c>
      <c r="E168" s="891">
        <f>$N$165</f>
        <v>70.66</v>
      </c>
      <c r="F168" s="891"/>
      <c r="G168" t="s">
        <v>1</v>
      </c>
      <c r="H168" s="7">
        <v>2.4</v>
      </c>
      <c r="I168" t="s">
        <v>1</v>
      </c>
      <c r="J168" s="2">
        <v>26</v>
      </c>
      <c r="L168" s="17"/>
      <c r="M168" s="60" t="s">
        <v>0</v>
      </c>
      <c r="N168" s="888">
        <f>ROUND(E168*H168*J168,2)</f>
        <v>4409.18</v>
      </c>
      <c r="O168" s="888"/>
      <c r="P168" s="65" t="s">
        <v>58</v>
      </c>
      <c r="Q168" s="58"/>
      <c r="R168" s="50"/>
      <c r="S168" s="49"/>
      <c r="T168" s="26"/>
    </row>
    <row r="169" spans="1:20">
      <c r="J169" s="886" t="s">
        <v>332</v>
      </c>
      <c r="K169" s="886"/>
      <c r="L169" s="891">
        <v>3.6</v>
      </c>
      <c r="M169" s="891"/>
      <c r="N169" s="9" t="s">
        <v>59</v>
      </c>
      <c r="O169" s="10"/>
      <c r="P169" s="2"/>
      <c r="R169" s="29" t="s">
        <v>0</v>
      </c>
      <c r="S169" s="16" t="s">
        <v>11</v>
      </c>
      <c r="T169" s="66">
        <f>ROUND(N168*L169,2)</f>
        <v>15873.05</v>
      </c>
    </row>
    <row r="170" spans="1:20">
      <c r="L170" s="17"/>
      <c r="M170" s="17"/>
      <c r="N170" s="17"/>
      <c r="O170" s="9"/>
      <c r="P170" s="49"/>
      <c r="Q170" s="49"/>
      <c r="R170" s="50"/>
      <c r="S170" s="49"/>
      <c r="T170" s="26"/>
    </row>
    <row r="171" spans="1:20">
      <c r="C171" t="s">
        <v>310</v>
      </c>
      <c r="L171" s="17"/>
      <c r="M171" s="17"/>
      <c r="N171" s="17"/>
      <c r="O171" s="9"/>
      <c r="P171" s="49"/>
      <c r="Q171" s="49"/>
      <c r="R171" s="50"/>
      <c r="S171" s="49"/>
      <c r="T171" s="26"/>
    </row>
    <row r="172" spans="1:20">
      <c r="D172" s="1" t="s">
        <v>0</v>
      </c>
      <c r="E172" s="888">
        <f>$N$165</f>
        <v>70.66</v>
      </c>
      <c r="F172" s="888"/>
      <c r="G172" t="s">
        <v>1</v>
      </c>
      <c r="H172" s="7">
        <v>2.4</v>
      </c>
      <c r="I172" t="s">
        <v>1</v>
      </c>
      <c r="J172" s="2">
        <v>4</v>
      </c>
      <c r="L172" s="17"/>
      <c r="M172" s="60" t="s">
        <v>0</v>
      </c>
      <c r="N172" s="888">
        <f>ROUND(E172*H172*J172,2)</f>
        <v>678.34</v>
      </c>
      <c r="O172" s="888"/>
      <c r="P172" s="65" t="s">
        <v>58</v>
      </c>
      <c r="Q172" s="58"/>
      <c r="R172" s="50"/>
      <c r="S172" s="49"/>
      <c r="T172" s="26"/>
    </row>
    <row r="173" spans="1:20">
      <c r="J173" s="886" t="s">
        <v>332</v>
      </c>
      <c r="K173" s="886"/>
      <c r="L173" s="891">
        <v>8.6</v>
      </c>
      <c r="M173" s="891"/>
      <c r="N173" s="9" t="s">
        <v>59</v>
      </c>
      <c r="O173" s="10"/>
      <c r="P173" s="2"/>
      <c r="R173" s="29" t="s">
        <v>0</v>
      </c>
      <c r="S173" s="16" t="s">
        <v>11</v>
      </c>
      <c r="T173" s="66">
        <f>ROUND(N172*L173,2)</f>
        <v>5833.72</v>
      </c>
    </row>
    <row r="174" spans="1:20">
      <c r="J174" s="8"/>
      <c r="K174" s="8"/>
      <c r="L174" s="17"/>
      <c r="M174" s="17"/>
      <c r="N174" s="9"/>
      <c r="O174" s="10"/>
      <c r="P174" s="2"/>
      <c r="R174" s="29"/>
      <c r="S174" s="16"/>
      <c r="T174" s="66"/>
    </row>
    <row r="175" spans="1:20">
      <c r="J175" s="8"/>
      <c r="K175" s="8"/>
      <c r="L175" s="17"/>
      <c r="M175" s="17"/>
      <c r="N175" s="9"/>
      <c r="O175" s="10"/>
      <c r="P175" s="2"/>
      <c r="R175" s="29"/>
      <c r="S175" s="16"/>
      <c r="T175" s="66"/>
    </row>
    <row r="176" spans="1:20">
      <c r="R176" s="16"/>
      <c r="S176" s="16"/>
    </row>
    <row r="177" spans="1:21">
      <c r="B177" s="3" t="s">
        <v>311</v>
      </c>
      <c r="R177" s="16"/>
      <c r="S177" s="16"/>
    </row>
    <row r="178" spans="1:21">
      <c r="A178" s="16"/>
      <c r="C178" s="890" t="s">
        <v>312</v>
      </c>
      <c r="D178" s="890"/>
      <c r="E178" s="890"/>
      <c r="F178" s="890"/>
      <c r="G178" s="890"/>
      <c r="H178" s="890"/>
      <c r="I178" s="890"/>
      <c r="J178" s="890"/>
      <c r="K178" s="890"/>
      <c r="R178" s="16"/>
      <c r="S178" s="16"/>
    </row>
    <row r="179" spans="1:21">
      <c r="C179" t="s">
        <v>313</v>
      </c>
      <c r="R179" s="16"/>
      <c r="S179" s="16"/>
    </row>
    <row r="180" spans="1:21">
      <c r="C180" t="s">
        <v>61</v>
      </c>
      <c r="F180" s="22"/>
      <c r="I180" s="24"/>
      <c r="J180" s="24"/>
      <c r="K180" s="47"/>
      <c r="L180" s="17"/>
      <c r="M180" s="60" t="s">
        <v>0</v>
      </c>
      <c r="N180" s="891">
        <f>$K$155</f>
        <v>15.340000000000002</v>
      </c>
      <c r="O180" s="891"/>
      <c r="P180" s="909" t="s">
        <v>272</v>
      </c>
      <c r="Q180" s="909"/>
      <c r="R180" s="18"/>
      <c r="S180" s="25"/>
      <c r="T180" s="57"/>
    </row>
    <row r="181" spans="1:21" ht="14.25">
      <c r="C181" t="s">
        <v>63</v>
      </c>
      <c r="F181" s="22"/>
      <c r="I181" s="24"/>
      <c r="J181" s="24"/>
      <c r="K181" s="47"/>
      <c r="L181" s="17"/>
      <c r="M181" s="60"/>
      <c r="N181" s="17"/>
      <c r="O181" s="17"/>
      <c r="P181" s="64"/>
      <c r="Q181" s="18"/>
      <c r="R181" s="18"/>
      <c r="S181" s="25"/>
      <c r="T181" s="57"/>
    </row>
    <row r="182" spans="1:21" ht="12.75" customHeight="1">
      <c r="C182" t="s">
        <v>309</v>
      </c>
      <c r="F182" s="22"/>
      <c r="I182" s="24"/>
      <c r="J182" s="24"/>
      <c r="K182" s="47"/>
      <c r="L182" s="17"/>
      <c r="M182" s="60"/>
      <c r="N182" s="17"/>
      <c r="O182" s="17"/>
      <c r="P182" s="64"/>
      <c r="Q182" s="18"/>
      <c r="R182" s="18"/>
      <c r="S182" s="25"/>
      <c r="T182" s="57"/>
    </row>
    <row r="183" spans="1:21">
      <c r="D183" s="1" t="s">
        <v>0</v>
      </c>
      <c r="E183" s="888">
        <f>$N$180</f>
        <v>15.340000000000002</v>
      </c>
      <c r="F183" s="888"/>
      <c r="G183" t="s">
        <v>1</v>
      </c>
      <c r="H183" s="7">
        <v>1.84</v>
      </c>
      <c r="I183" t="s">
        <v>1</v>
      </c>
      <c r="J183" s="2">
        <v>29</v>
      </c>
      <c r="L183" s="17"/>
      <c r="M183" s="60" t="s">
        <v>0</v>
      </c>
      <c r="N183" s="888">
        <f>ROUND(E183*H183*J183,2)</f>
        <v>818.54</v>
      </c>
      <c r="O183" s="888"/>
      <c r="P183" s="65" t="s">
        <v>58</v>
      </c>
      <c r="Q183" s="58"/>
      <c r="R183" s="50"/>
      <c r="S183" s="49"/>
      <c r="T183" s="26"/>
    </row>
    <row r="184" spans="1:21">
      <c r="J184" s="886" t="s">
        <v>332</v>
      </c>
      <c r="K184" s="886"/>
      <c r="L184" s="891">
        <v>3.6</v>
      </c>
      <c r="M184" s="891"/>
      <c r="N184" s="9" t="s">
        <v>59</v>
      </c>
      <c r="O184" s="10"/>
      <c r="P184" s="2"/>
      <c r="R184" s="29" t="s">
        <v>0</v>
      </c>
      <c r="S184" s="16" t="s">
        <v>11</v>
      </c>
      <c r="T184" s="66">
        <f>ROUND(N183*L184,2)</f>
        <v>2946.74</v>
      </c>
    </row>
    <row r="185" spans="1:21">
      <c r="L185" s="17"/>
      <c r="M185" s="17"/>
      <c r="N185" s="17"/>
      <c r="O185" s="9"/>
      <c r="P185" s="49"/>
      <c r="Q185" s="49"/>
      <c r="R185" s="50"/>
      <c r="S185" s="49"/>
      <c r="T185" s="26"/>
    </row>
    <row r="186" spans="1:21">
      <c r="C186" t="s">
        <v>60</v>
      </c>
      <c r="L186" s="17"/>
      <c r="M186" s="17"/>
      <c r="N186" s="17"/>
      <c r="O186" s="9"/>
      <c r="P186" s="49"/>
      <c r="Q186" s="49"/>
      <c r="R186" s="50"/>
      <c r="S186" s="49"/>
      <c r="T186" s="26"/>
    </row>
    <row r="187" spans="1:21">
      <c r="D187" s="1" t="s">
        <v>0</v>
      </c>
      <c r="E187" s="888">
        <f>$N$180</f>
        <v>15.340000000000002</v>
      </c>
      <c r="F187" s="888"/>
      <c r="G187" t="s">
        <v>1</v>
      </c>
      <c r="H187" s="7">
        <v>1.84</v>
      </c>
      <c r="I187" t="s">
        <v>1</v>
      </c>
      <c r="J187" s="2">
        <v>4</v>
      </c>
      <c r="L187" s="17"/>
      <c r="M187" s="60" t="s">
        <v>0</v>
      </c>
      <c r="N187" s="888">
        <f>ROUND(E187*H187*J187,2)</f>
        <v>112.9</v>
      </c>
      <c r="O187" s="888"/>
      <c r="P187" s="65" t="s">
        <v>58</v>
      </c>
      <c r="Q187" s="58"/>
      <c r="R187" s="50"/>
      <c r="S187" s="49"/>
      <c r="T187" s="26"/>
    </row>
    <row r="188" spans="1:21">
      <c r="J188" s="886" t="s">
        <v>332</v>
      </c>
      <c r="K188" s="886"/>
      <c r="L188" s="891">
        <v>8.6</v>
      </c>
      <c r="M188" s="891"/>
      <c r="N188" s="9" t="s">
        <v>59</v>
      </c>
      <c r="O188" s="10"/>
      <c r="P188" s="2"/>
      <c r="R188" s="29" t="s">
        <v>0</v>
      </c>
      <c r="S188" s="16" t="s">
        <v>11</v>
      </c>
      <c r="T188" s="66">
        <f>ROUND(N187*L188,2)</f>
        <v>970.94</v>
      </c>
    </row>
    <row r="189" spans="1:21">
      <c r="J189" s="8"/>
      <c r="K189" s="8"/>
      <c r="L189" s="17"/>
      <c r="M189" s="17"/>
      <c r="N189" s="9"/>
      <c r="O189" s="10"/>
      <c r="P189" s="2"/>
      <c r="S189" s="16"/>
      <c r="T189" s="66"/>
    </row>
    <row r="190" spans="1:21">
      <c r="J190" s="8"/>
      <c r="K190" s="8"/>
      <c r="L190" s="17"/>
      <c r="M190" s="17"/>
      <c r="N190" s="9"/>
      <c r="O190" s="10"/>
      <c r="P190" s="2"/>
      <c r="S190" s="16"/>
      <c r="T190" s="66"/>
    </row>
    <row r="191" spans="1:21">
      <c r="P191" s="18"/>
      <c r="Q191" s="18"/>
      <c r="R191" s="25"/>
      <c r="S191" s="25"/>
      <c r="T191" s="18"/>
      <c r="U191" s="11"/>
    </row>
    <row r="192" spans="1:21">
      <c r="A192" s="29" t="s">
        <v>69</v>
      </c>
      <c r="B192" t="s">
        <v>305</v>
      </c>
    </row>
    <row r="193" spans="1:21">
      <c r="B193" t="s">
        <v>314</v>
      </c>
    </row>
    <row r="194" spans="1:21">
      <c r="B194" t="s">
        <v>315</v>
      </c>
    </row>
    <row r="195" spans="1:21">
      <c r="B195" s="910" t="s">
        <v>304</v>
      </c>
      <c r="C195" s="910"/>
      <c r="D195" s="960" t="s">
        <v>0</v>
      </c>
      <c r="E195" s="921"/>
      <c r="F195" s="20">
        <v>4</v>
      </c>
      <c r="G195" t="s">
        <v>1</v>
      </c>
      <c r="H195" s="12">
        <v>2.5</v>
      </c>
      <c r="I195" s="14" t="s">
        <v>0</v>
      </c>
      <c r="J195" s="100">
        <f>H195*4</f>
        <v>10</v>
      </c>
      <c r="K195" s="100" t="s">
        <v>13</v>
      </c>
      <c r="L195" s="100"/>
      <c r="M195" s="24"/>
    </row>
    <row r="196" spans="1:21">
      <c r="H196" s="2" t="s">
        <v>8</v>
      </c>
      <c r="I196" s="1" t="s">
        <v>0</v>
      </c>
      <c r="J196" s="24">
        <f>SUM(J195:J195)</f>
        <v>10</v>
      </c>
      <c r="K196" s="24" t="s">
        <v>13</v>
      </c>
      <c r="L196" s="24"/>
      <c r="M196" s="24"/>
    </row>
    <row r="197" spans="1:21">
      <c r="H197" s="2"/>
      <c r="I197" s="1"/>
      <c r="J197" s="24"/>
      <c r="K197" s="24"/>
      <c r="L197" s="24"/>
      <c r="M197" s="24"/>
    </row>
    <row r="198" spans="1:21">
      <c r="B198" t="s">
        <v>316</v>
      </c>
      <c r="H198" s="2">
        <v>37.6</v>
      </c>
      <c r="I198" s="955" t="s">
        <v>20</v>
      </c>
      <c r="J198" s="955"/>
      <c r="K198" s="955"/>
      <c r="L198" s="904" t="s">
        <v>302</v>
      </c>
      <c r="M198" s="904"/>
      <c r="N198" s="891">
        <f>H198*10</f>
        <v>376</v>
      </c>
      <c r="O198" s="891"/>
    </row>
    <row r="199" spans="1:21">
      <c r="B199" t="s">
        <v>317</v>
      </c>
      <c r="H199" s="2">
        <v>12.8</v>
      </c>
      <c r="I199" s="957" t="s">
        <v>20</v>
      </c>
      <c r="J199" s="957"/>
      <c r="K199" s="957"/>
      <c r="L199" s="958" t="s">
        <v>302</v>
      </c>
      <c r="M199" s="958"/>
      <c r="N199" s="922">
        <f>H199*4</f>
        <v>51.2</v>
      </c>
      <c r="O199" s="922"/>
    </row>
    <row r="200" spans="1:21">
      <c r="B200" t="s">
        <v>318</v>
      </c>
      <c r="H200" s="2">
        <v>7.6</v>
      </c>
      <c r="I200" s="957" t="s">
        <v>20</v>
      </c>
      <c r="J200" s="957"/>
      <c r="K200" s="957"/>
      <c r="L200" s="958" t="s">
        <v>302</v>
      </c>
      <c r="M200" s="958"/>
      <c r="N200" s="922">
        <f>H200*4</f>
        <v>30.4</v>
      </c>
      <c r="O200" s="922"/>
    </row>
    <row r="201" spans="1:21">
      <c r="B201" t="s">
        <v>319</v>
      </c>
      <c r="H201" s="2">
        <v>30.1</v>
      </c>
      <c r="I201" s="954" t="s">
        <v>20</v>
      </c>
      <c r="J201" s="954"/>
      <c r="K201" s="954"/>
      <c r="L201" s="956" t="s">
        <v>302</v>
      </c>
      <c r="M201" s="956"/>
      <c r="N201" s="905">
        <f>H201*4</f>
        <v>120.4</v>
      </c>
      <c r="O201" s="905"/>
    </row>
    <row r="202" spans="1:21">
      <c r="J202" s="20" t="s">
        <v>8</v>
      </c>
      <c r="K202" s="1"/>
      <c r="L202" s="904" t="s">
        <v>302</v>
      </c>
      <c r="M202" s="904"/>
      <c r="N202" s="922">
        <f>SUM(N198:N201)</f>
        <v>578</v>
      </c>
      <c r="O202" s="922"/>
    </row>
    <row r="203" spans="1:21">
      <c r="N203" s="21"/>
      <c r="O203" s="21"/>
    </row>
    <row r="204" spans="1:21">
      <c r="B204" t="s">
        <v>23</v>
      </c>
      <c r="F204" s="891">
        <f>J196*1</f>
        <v>10</v>
      </c>
      <c r="G204" s="910"/>
      <c r="H204" t="s">
        <v>13</v>
      </c>
      <c r="I204" s="48" t="s">
        <v>0</v>
      </c>
      <c r="J204" s="2">
        <f>$F$734</f>
        <v>10</v>
      </c>
      <c r="K204" t="s">
        <v>1</v>
      </c>
      <c r="L204" s="911">
        <f>N202*1</f>
        <v>578</v>
      </c>
      <c r="M204" s="912"/>
      <c r="N204" s="18"/>
      <c r="O204" s="18"/>
      <c r="P204" s="18"/>
      <c r="Q204" s="18"/>
      <c r="R204" s="29" t="s">
        <v>0</v>
      </c>
      <c r="S204" s="25" t="s">
        <v>11</v>
      </c>
      <c r="T204" s="57">
        <f>ROUND(J204*L204,0)</f>
        <v>5780</v>
      </c>
      <c r="U204" s="28"/>
    </row>
    <row r="205" spans="1:21">
      <c r="A205" s="18"/>
      <c r="B205" s="18"/>
      <c r="C205" s="18"/>
      <c r="D205" s="18"/>
      <c r="E205" s="18"/>
      <c r="F205" s="18"/>
      <c r="G205" s="18"/>
      <c r="H205" s="18"/>
      <c r="I205" s="18"/>
      <c r="J205" s="18"/>
      <c r="K205" s="18"/>
      <c r="L205" s="18"/>
      <c r="M205" s="18"/>
      <c r="N205" s="101"/>
      <c r="O205" s="101"/>
      <c r="P205" s="13"/>
      <c r="Q205" s="13"/>
      <c r="R205" s="13"/>
      <c r="S205" s="13"/>
      <c r="T205" s="13"/>
      <c r="U205" s="28"/>
    </row>
    <row r="206" spans="1:21">
      <c r="A206" s="18"/>
      <c r="B206" s="18"/>
      <c r="C206" s="18"/>
      <c r="D206" s="18"/>
      <c r="E206" s="18"/>
      <c r="F206" s="18"/>
      <c r="G206" s="18"/>
      <c r="H206" s="18"/>
      <c r="I206" s="18"/>
      <c r="J206" s="18"/>
      <c r="K206" s="18"/>
      <c r="L206" s="18"/>
      <c r="M206" s="18"/>
      <c r="N206" s="101"/>
      <c r="O206" s="101"/>
      <c r="P206" s="913" t="s">
        <v>24</v>
      </c>
      <c r="Q206" s="913"/>
      <c r="R206" s="50" t="s">
        <v>0</v>
      </c>
      <c r="S206" s="49" t="s">
        <v>11</v>
      </c>
      <c r="T206" s="111">
        <f>SUM(T151:T205)</f>
        <v>248959.55</v>
      </c>
      <c r="U206" s="28"/>
    </row>
    <row r="207" spans="1:21">
      <c r="A207" s="18"/>
      <c r="B207" s="18"/>
      <c r="C207" s="18"/>
      <c r="D207" s="18"/>
      <c r="E207" s="18"/>
      <c r="F207" s="18"/>
      <c r="G207" s="18"/>
      <c r="H207" s="18"/>
      <c r="I207" s="18"/>
      <c r="J207" s="18"/>
      <c r="K207" s="18"/>
      <c r="L207" s="18"/>
      <c r="M207" s="18"/>
      <c r="N207" s="101"/>
      <c r="O207" s="101"/>
      <c r="P207" s="18"/>
      <c r="Q207" s="18"/>
      <c r="R207" s="18"/>
      <c r="S207" s="18"/>
      <c r="T207" s="18"/>
      <c r="U207" s="28"/>
    </row>
    <row r="208" spans="1:21">
      <c r="A208" s="18"/>
      <c r="B208" s="18"/>
      <c r="C208" s="18"/>
      <c r="D208" s="18"/>
      <c r="E208" s="18"/>
      <c r="F208" s="18"/>
      <c r="G208" s="18"/>
      <c r="H208" s="18"/>
      <c r="I208" s="18"/>
      <c r="J208" s="18"/>
      <c r="K208" s="18"/>
      <c r="L208" s="18"/>
      <c r="M208" s="18"/>
      <c r="N208" s="101"/>
      <c r="O208" s="101"/>
      <c r="P208" s="18"/>
      <c r="Q208" s="18"/>
      <c r="R208" s="18"/>
      <c r="S208" s="18"/>
      <c r="T208" s="18"/>
      <c r="U208" s="28"/>
    </row>
    <row r="209" spans="1:21">
      <c r="A209" s="18"/>
      <c r="B209" s="18"/>
      <c r="C209" s="18"/>
      <c r="D209" s="18"/>
      <c r="E209" s="18"/>
      <c r="F209" s="18"/>
      <c r="G209" s="18"/>
      <c r="H209" s="18"/>
      <c r="I209" s="18"/>
      <c r="J209" s="18"/>
      <c r="K209" s="18"/>
      <c r="L209" s="18"/>
      <c r="M209" s="18"/>
      <c r="N209" s="101"/>
      <c r="O209" s="101"/>
      <c r="P209" s="913" t="s">
        <v>25</v>
      </c>
      <c r="Q209" s="913"/>
      <c r="R209" s="50" t="s">
        <v>0</v>
      </c>
      <c r="S209" s="49" t="s">
        <v>11</v>
      </c>
      <c r="T209" s="111">
        <f>T206*1</f>
        <v>248959.55</v>
      </c>
      <c r="U209" s="28"/>
    </row>
    <row r="210" spans="1:21">
      <c r="A210" s="18"/>
      <c r="B210" s="18"/>
      <c r="C210" s="18"/>
      <c r="D210" s="18"/>
      <c r="E210" s="18"/>
      <c r="F210" s="79"/>
      <c r="G210" s="25"/>
      <c r="H210" s="18"/>
      <c r="I210" s="48"/>
      <c r="J210" s="19"/>
      <c r="K210" s="18"/>
      <c r="L210" s="34"/>
      <c r="M210" s="33"/>
      <c r="N210" s="18"/>
      <c r="O210" s="18"/>
      <c r="P210" s="18"/>
      <c r="Q210" s="18"/>
      <c r="R210" s="35"/>
      <c r="S210" s="25"/>
      <c r="T210" s="57"/>
      <c r="U210" s="28"/>
    </row>
    <row r="211" spans="1:21">
      <c r="A211" s="29" t="s">
        <v>70</v>
      </c>
      <c r="B211" t="s">
        <v>71</v>
      </c>
      <c r="F211" s="17"/>
      <c r="G211" s="16"/>
      <c r="I211" s="48"/>
      <c r="J211" s="2"/>
      <c r="L211" s="34"/>
      <c r="M211" s="33"/>
      <c r="N211" s="18"/>
      <c r="O211" s="18"/>
      <c r="P211" s="18"/>
      <c r="Q211" s="18"/>
      <c r="R211" s="18"/>
      <c r="S211" s="25"/>
      <c r="T211" s="57"/>
      <c r="U211" s="28"/>
    </row>
    <row r="212" spans="1:21">
      <c r="B212" t="s">
        <v>72</v>
      </c>
      <c r="F212" s="17"/>
      <c r="G212" s="16"/>
      <c r="I212" s="48" t="s">
        <v>0</v>
      </c>
      <c r="J212" s="891">
        <f>P138*1</f>
        <v>70.66</v>
      </c>
      <c r="K212" s="891"/>
      <c r="L212" s="909" t="s">
        <v>272</v>
      </c>
      <c r="M212" s="909"/>
      <c r="N212" s="18"/>
      <c r="O212" s="18"/>
      <c r="P212" s="18"/>
      <c r="Q212" s="18"/>
      <c r="R212" s="18"/>
      <c r="S212" s="25"/>
      <c r="T212" s="57"/>
      <c r="U212" s="28"/>
    </row>
    <row r="213" spans="1:21" ht="14.25">
      <c r="F213" s="886" t="s">
        <v>332</v>
      </c>
      <c r="G213" s="886"/>
      <c r="H213" s="910">
        <v>121.13</v>
      </c>
      <c r="I213" s="910"/>
      <c r="J213" s="67" t="s">
        <v>303</v>
      </c>
      <c r="L213" s="34"/>
      <c r="M213" s="33"/>
      <c r="N213" s="18"/>
      <c r="O213" s="18"/>
      <c r="P213" s="18"/>
      <c r="Q213" s="18"/>
      <c r="R213" s="29" t="s">
        <v>0</v>
      </c>
      <c r="S213" s="25" t="s">
        <v>11</v>
      </c>
      <c r="T213" s="57">
        <f>ROUND(J212*H213,0)</f>
        <v>8559</v>
      </c>
      <c r="U213" s="28"/>
    </row>
    <row r="214" spans="1:21">
      <c r="F214" s="17"/>
      <c r="G214" s="16"/>
      <c r="I214" s="48"/>
      <c r="J214" s="2"/>
      <c r="L214" s="34"/>
      <c r="M214" s="33"/>
      <c r="N214" s="18"/>
      <c r="O214" s="18"/>
      <c r="P214" s="18"/>
      <c r="Q214" s="18"/>
      <c r="R214" s="18"/>
      <c r="S214" s="25"/>
      <c r="T214" s="57"/>
      <c r="U214" s="28"/>
    </row>
    <row r="215" spans="1:21">
      <c r="B215" t="s">
        <v>74</v>
      </c>
      <c r="F215" s="17"/>
      <c r="G215" s="16"/>
      <c r="I215" s="48" t="s">
        <v>0</v>
      </c>
      <c r="J215" s="891">
        <f>P144*1</f>
        <v>15.340000000000002</v>
      </c>
      <c r="K215" s="891"/>
      <c r="L215" s="909" t="s">
        <v>272</v>
      </c>
      <c r="M215" s="909"/>
      <c r="N215" s="18"/>
      <c r="O215" s="18"/>
      <c r="P215" s="18"/>
      <c r="Q215" s="18"/>
      <c r="R215" s="18"/>
      <c r="S215" s="25"/>
      <c r="T215" s="57"/>
      <c r="U215" s="28"/>
    </row>
    <row r="216" spans="1:21" ht="14.25">
      <c r="F216" s="886" t="s">
        <v>332</v>
      </c>
      <c r="G216" s="886"/>
      <c r="H216" s="891">
        <v>35.700000000000003</v>
      </c>
      <c r="I216" s="891"/>
      <c r="J216" s="67" t="s">
        <v>303</v>
      </c>
      <c r="L216" s="34"/>
      <c r="M216" s="33"/>
      <c r="N216" s="18"/>
      <c r="O216" s="18"/>
      <c r="P216" s="18"/>
      <c r="Q216" s="18"/>
      <c r="R216" s="35" t="s">
        <v>0</v>
      </c>
      <c r="S216" s="25" t="s">
        <v>11</v>
      </c>
      <c r="T216" s="57">
        <f>ROUND(J215*H216,0)</f>
        <v>548</v>
      </c>
      <c r="U216" s="28"/>
    </row>
    <row r="217" spans="1:21">
      <c r="F217" s="8"/>
      <c r="G217" s="8"/>
      <c r="H217" s="17"/>
      <c r="I217" s="17"/>
      <c r="J217" s="67"/>
      <c r="L217" s="34"/>
      <c r="M217" s="33"/>
      <c r="N217" s="13"/>
      <c r="O217" s="13"/>
      <c r="P217" s="13"/>
      <c r="Q217" s="13"/>
      <c r="R217" s="32"/>
      <c r="S217" s="23"/>
      <c r="T217" s="27"/>
      <c r="U217" s="28"/>
    </row>
    <row r="218" spans="1:21">
      <c r="O218" s="3"/>
      <c r="P218" s="920" t="s">
        <v>26</v>
      </c>
      <c r="Q218" s="920"/>
      <c r="R218" s="29" t="s">
        <v>0</v>
      </c>
      <c r="S218" s="49" t="s">
        <v>11</v>
      </c>
      <c r="T218" s="28">
        <f>SUM(T209:T217)</f>
        <v>258066.55</v>
      </c>
      <c r="U218" s="28"/>
    </row>
    <row r="219" spans="1:21">
      <c r="O219" s="3"/>
      <c r="P219" s="118"/>
      <c r="Q219" s="118"/>
      <c r="R219" s="29"/>
      <c r="S219" s="49"/>
      <c r="T219" s="28"/>
      <c r="U219" s="28"/>
    </row>
    <row r="220" spans="1:21">
      <c r="A220" s="130" t="s">
        <v>322</v>
      </c>
      <c r="B220" s="43" t="s">
        <v>320</v>
      </c>
      <c r="C220" s="43"/>
      <c r="D220" s="43"/>
      <c r="E220" s="43"/>
      <c r="F220" s="43"/>
      <c r="G220" s="43"/>
      <c r="H220" s="43"/>
      <c r="I220" s="43"/>
      <c r="J220" s="43"/>
      <c r="K220" s="43"/>
      <c r="L220" s="43"/>
      <c r="M220" s="43"/>
      <c r="N220" s="43"/>
      <c r="O220" s="131"/>
      <c r="P220" s="131"/>
      <c r="Q220" s="136"/>
      <c r="R220" s="35" t="s">
        <v>0</v>
      </c>
      <c r="S220" s="25" t="s">
        <v>11</v>
      </c>
      <c r="T220" s="132">
        <f>ROUND(T218*12.5%,2)</f>
        <v>32258.32</v>
      </c>
      <c r="U220" s="28"/>
    </row>
    <row r="221" spans="1:21">
      <c r="A221" s="43"/>
      <c r="B221" s="43"/>
      <c r="C221" s="43"/>
      <c r="D221" s="43"/>
      <c r="E221" s="43"/>
      <c r="F221" s="43"/>
      <c r="G221" s="43"/>
      <c r="H221" s="43"/>
      <c r="I221" s="43"/>
      <c r="J221" s="43"/>
      <c r="K221" s="43"/>
      <c r="L221" s="43"/>
      <c r="M221" s="43"/>
      <c r="N221" s="63"/>
      <c r="O221" s="133"/>
      <c r="P221" s="133"/>
      <c r="Q221" s="133"/>
      <c r="R221" s="133"/>
      <c r="S221" s="134"/>
      <c r="T221" s="137"/>
      <c r="U221" s="28"/>
    </row>
    <row r="222" spans="1:21">
      <c r="A222" s="43"/>
      <c r="B222" s="43"/>
      <c r="C222" s="43"/>
      <c r="D222" s="43"/>
      <c r="E222" s="43"/>
      <c r="F222" s="43"/>
      <c r="G222" s="43"/>
      <c r="H222" s="43"/>
      <c r="I222" s="43"/>
      <c r="J222" s="43"/>
      <c r="K222" s="43"/>
      <c r="L222" s="43"/>
      <c r="M222" s="43"/>
      <c r="N222" s="43"/>
      <c r="O222" s="919" t="s">
        <v>321</v>
      </c>
      <c r="P222" s="919"/>
      <c r="Q222" s="131"/>
      <c r="R222" s="35" t="s">
        <v>0</v>
      </c>
      <c r="S222" s="25" t="s">
        <v>11</v>
      </c>
      <c r="T222" s="135">
        <f>SUM(T218:T221)</f>
        <v>290324.87</v>
      </c>
      <c r="U222" s="28"/>
    </row>
    <row r="223" spans="1:21">
      <c r="A223" s="43"/>
      <c r="B223" s="43"/>
      <c r="C223" s="43"/>
      <c r="D223" s="43"/>
      <c r="E223" s="43"/>
      <c r="F223" s="43"/>
      <c r="G223" s="43"/>
      <c r="H223" s="43"/>
      <c r="I223" s="43"/>
      <c r="J223" s="43"/>
      <c r="K223" s="43"/>
      <c r="L223" s="43"/>
      <c r="M223" s="43"/>
      <c r="N223" s="43"/>
      <c r="O223" s="131"/>
      <c r="P223" s="131"/>
      <c r="Q223" s="131"/>
      <c r="R223" s="131"/>
      <c r="S223" s="135"/>
      <c r="T223" s="3"/>
      <c r="U223" s="28"/>
    </row>
    <row r="224" spans="1:21">
      <c r="A224" s="43"/>
      <c r="B224" s="141"/>
      <c r="C224" s="141"/>
      <c r="D224" s="141"/>
      <c r="E224" s="141"/>
      <c r="F224" s="141"/>
      <c r="G224" s="141"/>
      <c r="H224" s="141"/>
      <c r="I224" s="138"/>
      <c r="J224" s="142"/>
      <c r="K224" s="142"/>
      <c r="L224" s="142"/>
      <c r="M224" s="139"/>
      <c r="N224" s="143"/>
      <c r="O224" s="144"/>
      <c r="P224" s="144"/>
      <c r="Q224" s="145"/>
      <c r="R224" s="145"/>
      <c r="T224" s="3"/>
      <c r="U224" s="28"/>
    </row>
    <row r="225" spans="1:21">
      <c r="A225" s="43"/>
      <c r="B225" s="141"/>
      <c r="C225" s="141"/>
      <c r="D225" s="141"/>
      <c r="E225" s="141"/>
      <c r="F225" s="141"/>
      <c r="G225" s="141"/>
      <c r="H225" s="141"/>
      <c r="I225" s="138"/>
      <c r="J225" s="141"/>
      <c r="K225" s="141"/>
      <c r="L225" s="141"/>
      <c r="M225" s="129"/>
      <c r="N225" s="143"/>
      <c r="O225" s="144"/>
      <c r="P225" s="144"/>
      <c r="Q225" s="145"/>
      <c r="R225" s="145"/>
      <c r="T225" s="3"/>
      <c r="U225" s="28"/>
    </row>
    <row r="226" spans="1:21">
      <c r="O226" s="3"/>
      <c r="P226" s="118"/>
      <c r="Q226" s="118"/>
      <c r="R226" s="29"/>
      <c r="S226" s="49"/>
      <c r="T226" s="28"/>
      <c r="U226" s="28"/>
    </row>
    <row r="227" spans="1:21">
      <c r="Q227" s="3"/>
      <c r="R227" s="3"/>
      <c r="S227" s="3"/>
      <c r="T227" s="3"/>
      <c r="U227" s="28"/>
    </row>
    <row r="228" spans="1:21">
      <c r="Q228" s="3"/>
      <c r="R228" s="3"/>
      <c r="S228" s="3"/>
      <c r="T228" s="3"/>
      <c r="U228" s="28"/>
    </row>
    <row r="229" spans="1:21">
      <c r="Q229" s="3"/>
      <c r="R229" s="3"/>
      <c r="S229" s="3"/>
      <c r="T229" s="3"/>
      <c r="U229" s="28"/>
    </row>
    <row r="230" spans="1:21">
      <c r="Q230" s="3"/>
      <c r="R230" s="3"/>
      <c r="S230" s="3"/>
      <c r="T230" s="3"/>
      <c r="U230" s="28"/>
    </row>
    <row r="231" spans="1:21">
      <c r="Q231" s="3"/>
      <c r="R231" s="3"/>
      <c r="S231" s="3"/>
      <c r="T231" s="3"/>
      <c r="U231" s="28"/>
    </row>
    <row r="232" spans="1:21">
      <c r="Q232" s="3"/>
      <c r="R232" s="3"/>
      <c r="S232" s="3"/>
      <c r="T232" s="3"/>
      <c r="U232" s="28"/>
    </row>
    <row r="233" spans="1:21">
      <c r="Q233" s="3"/>
      <c r="R233" s="3"/>
      <c r="S233" s="3"/>
      <c r="T233" s="3"/>
    </row>
    <row r="234" spans="1:21">
      <c r="Q234" s="3"/>
      <c r="R234" s="3"/>
      <c r="S234" s="3"/>
      <c r="T234" s="3"/>
    </row>
    <row r="235" spans="1:21">
      <c r="Q235" s="3"/>
      <c r="R235" s="3"/>
      <c r="S235" s="3"/>
      <c r="T235" s="3"/>
    </row>
    <row r="236" spans="1:21">
      <c r="Q236" s="3"/>
      <c r="R236" s="3"/>
      <c r="S236" s="3"/>
      <c r="T236" s="3"/>
    </row>
    <row r="240" spans="1:21">
      <c r="B240" s="921" t="s">
        <v>326</v>
      </c>
      <c r="C240" s="921"/>
      <c r="D240" s="921"/>
      <c r="E240" s="921"/>
      <c r="F240" s="921"/>
      <c r="G240" s="921"/>
      <c r="H240" s="921"/>
      <c r="I240" s="921"/>
      <c r="J240" s="921"/>
      <c r="K240" s="921"/>
      <c r="L240" s="921"/>
      <c r="N240" s="921" t="s">
        <v>323</v>
      </c>
      <c r="O240" s="921"/>
      <c r="P240" s="921"/>
      <c r="Q240" s="921"/>
      <c r="R240" s="921"/>
      <c r="S240" s="921"/>
      <c r="T240" s="921"/>
    </row>
    <row r="241" spans="2:20">
      <c r="B241" s="921" t="s">
        <v>325</v>
      </c>
      <c r="C241" s="921"/>
      <c r="D241" s="921"/>
      <c r="E241" s="921"/>
      <c r="F241" s="921"/>
      <c r="G241" s="921"/>
      <c r="H241" s="921"/>
      <c r="I241" s="921"/>
      <c r="J241" s="921"/>
      <c r="K241" s="921"/>
      <c r="L241" s="921"/>
      <c r="N241" s="921" t="s">
        <v>324</v>
      </c>
      <c r="O241" s="921"/>
      <c r="P241" s="921"/>
      <c r="Q241" s="921"/>
      <c r="R241" s="921"/>
      <c r="S241" s="921"/>
      <c r="T241" s="921"/>
    </row>
    <row r="242" spans="2:20">
      <c r="B242" s="921"/>
      <c r="C242" s="921"/>
      <c r="D242" s="921"/>
      <c r="E242" s="921"/>
      <c r="F242" s="921"/>
      <c r="G242" s="921"/>
      <c r="H242" s="921"/>
      <c r="I242" s="921"/>
      <c r="J242" s="921"/>
      <c r="K242" s="921"/>
      <c r="L242" s="921"/>
      <c r="N242" s="921"/>
      <c r="O242" s="921"/>
      <c r="P242" s="921"/>
      <c r="Q242" s="921"/>
      <c r="R242" s="921"/>
      <c r="S242" s="921"/>
      <c r="T242" s="921"/>
    </row>
    <row r="243" spans="2:20">
      <c r="B243" s="20"/>
      <c r="C243" s="20"/>
      <c r="D243" s="20"/>
      <c r="E243" s="20"/>
      <c r="F243" s="20"/>
      <c r="G243" s="20"/>
      <c r="H243" s="20"/>
      <c r="I243" s="20"/>
      <c r="J243" s="20"/>
      <c r="K243" s="20"/>
      <c r="L243" s="20"/>
      <c r="N243" s="20"/>
      <c r="O243" s="20"/>
      <c r="P243" s="20"/>
      <c r="Q243" s="20"/>
      <c r="R243" s="20"/>
      <c r="S243" s="20"/>
      <c r="T243" s="20"/>
    </row>
    <row r="244" spans="2:20">
      <c r="B244" s="20"/>
      <c r="C244" s="20"/>
      <c r="D244" s="20"/>
      <c r="E244" s="20"/>
      <c r="F244" s="20"/>
      <c r="G244" s="20"/>
      <c r="H244" s="20"/>
      <c r="I244" s="20"/>
      <c r="J244" s="20"/>
      <c r="K244" s="20"/>
      <c r="L244" s="20"/>
      <c r="N244" s="20"/>
      <c r="O244" s="20"/>
      <c r="P244" s="20"/>
      <c r="Q244" s="20"/>
      <c r="R244" s="20"/>
      <c r="S244" s="20"/>
      <c r="T244" s="20"/>
    </row>
    <row r="245" spans="2:20">
      <c r="B245" s="20"/>
      <c r="C245" s="20"/>
      <c r="D245" s="20"/>
      <c r="E245" s="20"/>
      <c r="F245" s="20"/>
      <c r="G245" s="20"/>
      <c r="H245" s="20"/>
      <c r="I245" s="20"/>
      <c r="J245" s="20"/>
      <c r="K245" s="20"/>
      <c r="L245" s="20"/>
      <c r="N245" s="20"/>
      <c r="O245" s="20"/>
      <c r="P245" s="20"/>
      <c r="Q245" s="20"/>
      <c r="R245" s="20"/>
      <c r="S245" s="20"/>
      <c r="T245" s="20"/>
    </row>
    <row r="246" spans="2:20">
      <c r="B246" s="20"/>
      <c r="C246" s="20"/>
      <c r="D246" s="20"/>
      <c r="E246" s="20"/>
      <c r="F246" s="20"/>
      <c r="G246" s="20"/>
      <c r="H246" s="20"/>
      <c r="I246" s="20"/>
      <c r="J246" s="20"/>
      <c r="K246" s="20"/>
      <c r="L246" s="20"/>
      <c r="N246" s="20"/>
      <c r="O246" s="20"/>
      <c r="P246" s="20"/>
      <c r="Q246" s="20"/>
      <c r="R246" s="20"/>
      <c r="S246" s="20"/>
      <c r="T246" s="20"/>
    </row>
    <row r="247" spans="2:20">
      <c r="B247" s="20"/>
      <c r="C247" s="20"/>
      <c r="D247" s="20"/>
      <c r="E247" s="20"/>
      <c r="F247" s="20"/>
      <c r="G247" s="20"/>
      <c r="H247" s="20"/>
      <c r="I247" s="20"/>
      <c r="J247" s="20"/>
      <c r="K247" s="20"/>
      <c r="L247" s="20"/>
      <c r="N247" s="20"/>
      <c r="O247" s="20"/>
      <c r="P247" s="20"/>
      <c r="Q247" s="20"/>
      <c r="R247" s="20"/>
      <c r="S247" s="20"/>
      <c r="T247" s="20"/>
    </row>
    <row r="248" spans="2:20">
      <c r="B248" s="20"/>
      <c r="C248" s="20"/>
      <c r="D248" s="20"/>
      <c r="E248" s="20"/>
      <c r="F248" s="20"/>
      <c r="G248" s="20"/>
      <c r="H248" s="20"/>
      <c r="I248" s="20"/>
      <c r="J248" s="20"/>
      <c r="K248" s="20"/>
      <c r="L248" s="20"/>
      <c r="N248" s="20"/>
      <c r="O248" s="20"/>
      <c r="P248" s="20"/>
      <c r="Q248" s="20"/>
      <c r="R248" s="20"/>
      <c r="S248" s="20"/>
      <c r="T248" s="20"/>
    </row>
    <row r="249" spans="2:20">
      <c r="B249" s="20"/>
      <c r="C249" s="20"/>
      <c r="D249" s="20"/>
      <c r="E249" s="20"/>
      <c r="F249" s="20"/>
      <c r="G249" s="20"/>
      <c r="H249" s="20"/>
      <c r="I249" s="20"/>
      <c r="J249" s="20"/>
      <c r="K249" s="20"/>
      <c r="L249" s="20"/>
      <c r="N249" s="20"/>
      <c r="O249" s="20"/>
      <c r="P249" s="20"/>
      <c r="Q249" s="20"/>
      <c r="R249" s="20"/>
      <c r="S249" s="20"/>
      <c r="T249" s="20"/>
    </row>
    <row r="250" spans="2:20">
      <c r="B250" s="20"/>
      <c r="C250" s="20"/>
      <c r="D250" s="20"/>
      <c r="E250" s="20"/>
      <c r="F250" s="20"/>
      <c r="G250" s="20"/>
      <c r="H250" s="20"/>
      <c r="I250" s="20"/>
      <c r="J250" s="20"/>
      <c r="K250" s="20"/>
      <c r="L250" s="20"/>
      <c r="N250" s="20"/>
      <c r="O250" s="20"/>
      <c r="P250" s="20"/>
      <c r="Q250" s="20"/>
      <c r="R250" s="20"/>
      <c r="S250" s="20"/>
      <c r="T250" s="20"/>
    </row>
    <row r="251" spans="2:20">
      <c r="B251" s="20"/>
      <c r="C251" s="20"/>
      <c r="D251" s="20"/>
      <c r="E251" s="20"/>
      <c r="F251" s="20"/>
      <c r="G251" s="20"/>
      <c r="H251" s="20"/>
      <c r="I251" s="20"/>
      <c r="J251" s="20"/>
      <c r="K251" s="20"/>
      <c r="L251" s="20"/>
      <c r="N251" s="20"/>
      <c r="O251" s="20"/>
      <c r="P251" s="20"/>
      <c r="Q251" s="20"/>
      <c r="R251" s="20"/>
      <c r="S251" s="20"/>
      <c r="T251" s="20"/>
    </row>
    <row r="252" spans="2:20">
      <c r="B252" s="20"/>
      <c r="C252" s="20"/>
      <c r="D252" s="20"/>
      <c r="E252" s="20"/>
      <c r="F252" s="20"/>
      <c r="G252" s="20"/>
      <c r="H252" s="20"/>
      <c r="I252" s="20"/>
      <c r="J252" s="20"/>
      <c r="K252" s="20"/>
      <c r="L252" s="20"/>
      <c r="N252" s="20"/>
      <c r="O252" s="20"/>
      <c r="P252" s="20"/>
      <c r="Q252" s="20"/>
      <c r="R252" s="20"/>
      <c r="S252" s="20"/>
      <c r="T252" s="20"/>
    </row>
    <row r="253" spans="2:20">
      <c r="B253" s="20"/>
      <c r="C253" s="20"/>
      <c r="D253" s="20"/>
      <c r="E253" s="20"/>
      <c r="F253" s="20"/>
      <c r="G253" s="20"/>
      <c r="H253" s="20"/>
      <c r="I253" s="20"/>
      <c r="J253" s="20"/>
      <c r="K253" s="20"/>
      <c r="L253" s="20"/>
      <c r="N253" s="20"/>
      <c r="O253" s="20"/>
      <c r="P253" s="20"/>
      <c r="Q253" s="20"/>
      <c r="R253" s="20"/>
      <c r="S253" s="20"/>
      <c r="T253" s="20"/>
    </row>
    <row r="254" spans="2:20">
      <c r="B254" s="20"/>
      <c r="C254" s="20"/>
      <c r="D254" s="20"/>
      <c r="E254" s="20"/>
      <c r="F254" s="20"/>
      <c r="G254" s="20"/>
      <c r="H254" s="20"/>
      <c r="I254" s="20"/>
      <c r="J254" s="20"/>
      <c r="K254" s="20"/>
      <c r="L254" s="20"/>
      <c r="N254" s="20"/>
      <c r="O254" s="20"/>
      <c r="P254" s="20"/>
      <c r="Q254" s="20"/>
      <c r="R254" s="20"/>
      <c r="S254" s="20"/>
      <c r="T254" s="20"/>
    </row>
    <row r="255" spans="2:20">
      <c r="B255" s="20"/>
      <c r="C255" s="20"/>
      <c r="D255" s="20"/>
      <c r="E255" s="20"/>
      <c r="F255" s="20"/>
      <c r="G255" s="20"/>
      <c r="H255" s="20"/>
      <c r="I255" s="20"/>
      <c r="J255" s="20"/>
      <c r="K255" s="20"/>
      <c r="L255" s="20"/>
      <c r="N255" s="20"/>
      <c r="O255" s="20"/>
      <c r="P255" s="20"/>
      <c r="Q255" s="20"/>
      <c r="R255" s="20"/>
      <c r="S255" s="20"/>
      <c r="T255" s="20"/>
    </row>
    <row r="256" spans="2:20">
      <c r="B256" s="20"/>
      <c r="C256" s="20"/>
      <c r="D256" s="20"/>
      <c r="E256" s="20"/>
      <c r="F256" s="20"/>
      <c r="G256" s="20"/>
      <c r="H256" s="20"/>
      <c r="I256" s="20"/>
      <c r="J256" s="20"/>
      <c r="K256" s="20"/>
      <c r="L256" s="20"/>
      <c r="N256" s="20"/>
      <c r="O256" s="20"/>
      <c r="P256" s="20"/>
      <c r="Q256" s="20"/>
      <c r="R256" s="20"/>
      <c r="S256" s="20"/>
      <c r="T256" s="20"/>
    </row>
    <row r="257" spans="1:20">
      <c r="B257" s="20"/>
      <c r="C257" s="20"/>
      <c r="D257" s="20"/>
      <c r="E257" s="20"/>
      <c r="F257" s="20"/>
      <c r="G257" s="20"/>
      <c r="H257" s="20"/>
      <c r="I257" s="20"/>
      <c r="J257" s="20"/>
      <c r="K257" s="20"/>
      <c r="L257" s="20"/>
      <c r="N257" s="20"/>
      <c r="O257" s="20"/>
      <c r="P257" s="20"/>
      <c r="Q257" s="20"/>
      <c r="R257" s="20"/>
      <c r="S257" s="20"/>
      <c r="T257" s="20"/>
    </row>
    <row r="258" spans="1:20">
      <c r="B258" s="20"/>
      <c r="C258" s="20"/>
      <c r="D258" s="20"/>
      <c r="E258" s="20"/>
      <c r="F258" s="20"/>
      <c r="G258" s="20"/>
      <c r="H258" s="20"/>
      <c r="I258" s="20"/>
      <c r="J258" s="20"/>
      <c r="K258" s="20"/>
      <c r="L258" s="20"/>
      <c r="N258" s="20"/>
      <c r="O258" s="20"/>
      <c r="P258" s="20"/>
      <c r="Q258" s="20"/>
      <c r="R258" s="20"/>
      <c r="S258" s="20"/>
      <c r="T258" s="20"/>
    </row>
    <row r="259" spans="1:20">
      <c r="B259" s="20"/>
      <c r="C259" s="20"/>
      <c r="D259" s="20"/>
      <c r="E259" s="20"/>
      <c r="F259" s="20"/>
      <c r="G259" s="20"/>
      <c r="H259" s="20"/>
      <c r="I259" s="20"/>
      <c r="J259" s="20"/>
      <c r="K259" s="20"/>
      <c r="L259" s="20"/>
      <c r="N259" s="20"/>
      <c r="O259" s="20"/>
      <c r="P259" s="20"/>
      <c r="Q259" s="20"/>
      <c r="R259" s="20"/>
      <c r="S259" s="20"/>
      <c r="T259" s="20"/>
    </row>
    <row r="260" spans="1:20">
      <c r="B260" s="20"/>
      <c r="C260" s="20"/>
      <c r="D260" s="20"/>
      <c r="E260" s="20"/>
      <c r="F260" s="20"/>
      <c r="G260" s="20"/>
      <c r="H260" s="20"/>
      <c r="I260" s="20"/>
      <c r="J260" s="20"/>
      <c r="K260" s="20"/>
      <c r="L260" s="20"/>
      <c r="N260" s="20"/>
      <c r="O260" s="20"/>
      <c r="P260" s="20"/>
      <c r="Q260" s="20"/>
      <c r="R260" s="20"/>
      <c r="S260" s="20"/>
      <c r="T260" s="20"/>
    </row>
    <row r="261" spans="1:20">
      <c r="B261" s="20"/>
      <c r="C261" s="20"/>
      <c r="D261" s="20"/>
      <c r="E261" s="20"/>
      <c r="F261" s="20"/>
      <c r="G261" s="20"/>
      <c r="H261" s="20"/>
      <c r="I261" s="20"/>
      <c r="J261" s="20"/>
      <c r="K261" s="20"/>
      <c r="L261" s="20"/>
      <c r="N261" s="20"/>
      <c r="O261" s="20"/>
      <c r="P261" s="20"/>
      <c r="Q261" s="20"/>
      <c r="R261" s="20"/>
      <c r="S261" s="20"/>
      <c r="T261" s="20"/>
    </row>
    <row r="262" spans="1:20">
      <c r="B262" s="20"/>
      <c r="C262" s="20"/>
      <c r="D262" s="20"/>
      <c r="E262" s="20"/>
      <c r="F262" s="20"/>
      <c r="G262" s="20"/>
      <c r="H262" s="20"/>
      <c r="I262" s="20"/>
      <c r="J262" s="20"/>
      <c r="K262" s="20"/>
      <c r="L262" s="20"/>
      <c r="N262" s="20"/>
      <c r="O262" s="20"/>
      <c r="P262" s="20"/>
      <c r="Q262" s="20"/>
      <c r="R262" s="20"/>
      <c r="S262" s="20"/>
      <c r="T262" s="20"/>
    </row>
    <row r="263" spans="1:20">
      <c r="B263" s="20"/>
      <c r="C263" s="20"/>
      <c r="D263" s="20"/>
      <c r="E263" s="20"/>
      <c r="F263" s="20"/>
      <c r="G263" s="20"/>
      <c r="H263" s="20"/>
      <c r="I263" s="20"/>
      <c r="J263" s="20"/>
      <c r="K263" s="20"/>
      <c r="L263" s="20"/>
      <c r="N263" s="20"/>
      <c r="O263" s="20"/>
      <c r="P263" s="20"/>
      <c r="Q263" s="20"/>
      <c r="R263" s="20"/>
      <c r="S263" s="20"/>
      <c r="T263" s="20"/>
    </row>
    <row r="264" spans="1:20">
      <c r="B264" s="20"/>
      <c r="C264" s="20"/>
      <c r="D264" s="20"/>
      <c r="E264" s="20"/>
      <c r="F264" s="20"/>
      <c r="G264" s="20"/>
      <c r="H264" s="20"/>
      <c r="I264" s="20"/>
      <c r="J264" s="20"/>
      <c r="K264" s="20"/>
      <c r="L264" s="20"/>
      <c r="N264" s="20"/>
      <c r="O264" s="20"/>
      <c r="P264" s="20"/>
      <c r="Q264" s="20"/>
      <c r="R264" s="20"/>
      <c r="S264" s="20"/>
      <c r="T264" s="20"/>
    </row>
    <row r="265" spans="1:20">
      <c r="B265" s="20"/>
      <c r="C265" s="20"/>
      <c r="D265" s="20"/>
      <c r="E265" s="20"/>
      <c r="F265" s="20"/>
      <c r="G265" s="20"/>
      <c r="H265" s="20"/>
      <c r="I265" s="20"/>
      <c r="J265" s="20"/>
      <c r="K265" s="20"/>
      <c r="L265" s="20"/>
      <c r="N265" s="20"/>
      <c r="O265" s="20"/>
      <c r="P265" s="20"/>
      <c r="Q265" s="20"/>
      <c r="R265" s="20"/>
      <c r="S265" s="20"/>
      <c r="T265" s="20"/>
    </row>
    <row r="266" spans="1:20">
      <c r="B266" s="20"/>
      <c r="C266" s="20"/>
      <c r="D266" s="20"/>
      <c r="E266" s="20"/>
      <c r="F266" s="20"/>
      <c r="G266" s="20"/>
      <c r="H266" s="20"/>
      <c r="I266" s="20"/>
      <c r="J266" s="20"/>
      <c r="K266" s="20"/>
      <c r="L266" s="20"/>
      <c r="N266" s="20"/>
      <c r="O266" s="20"/>
      <c r="P266" s="20"/>
      <c r="Q266" s="20"/>
      <c r="R266" s="20"/>
      <c r="S266" s="20"/>
      <c r="T266" s="20"/>
    </row>
    <row r="267" spans="1:20">
      <c r="P267" s="3" t="s">
        <v>260</v>
      </c>
    </row>
    <row r="268" spans="1:20">
      <c r="A268" s="959" t="s">
        <v>255</v>
      </c>
      <c r="B268" s="959"/>
      <c r="C268" s="959"/>
      <c r="D268" s="959"/>
      <c r="E268" s="959"/>
      <c r="F268" s="959"/>
      <c r="G268" s="959"/>
      <c r="H268" s="959"/>
      <c r="I268" s="959"/>
      <c r="J268" s="959"/>
      <c r="K268" s="959"/>
      <c r="L268" s="959"/>
      <c r="M268" s="959"/>
      <c r="N268" s="959"/>
      <c r="O268" s="959"/>
      <c r="P268" s="959"/>
      <c r="Q268" s="959"/>
      <c r="R268" s="959"/>
      <c r="S268" s="959"/>
      <c r="T268" s="959"/>
    </row>
    <row r="269" spans="1:20">
      <c r="A269" s="59"/>
      <c r="B269" s="59"/>
      <c r="C269" s="59"/>
      <c r="D269" s="59"/>
      <c r="G269" s="959" t="s">
        <v>81</v>
      </c>
      <c r="H269" s="959"/>
      <c r="I269" s="959"/>
      <c r="J269" s="959"/>
      <c r="K269" s="59"/>
      <c r="L269" s="59"/>
      <c r="M269" s="959" t="s">
        <v>79</v>
      </c>
      <c r="N269" s="959"/>
      <c r="O269" s="959"/>
      <c r="P269" s="959"/>
      <c r="Q269" s="59"/>
      <c r="R269" s="59"/>
      <c r="S269" s="59"/>
      <c r="T269" s="59"/>
    </row>
    <row r="270" spans="1:20">
      <c r="B270" s="951" t="s">
        <v>259</v>
      </c>
      <c r="C270" s="951"/>
      <c r="D270" s="951"/>
      <c r="E270" s="951"/>
      <c r="F270" s="951"/>
      <c r="G270" s="951"/>
      <c r="H270" s="951"/>
      <c r="I270" s="951"/>
      <c r="J270" s="951"/>
      <c r="K270" s="951"/>
      <c r="L270" s="951"/>
      <c r="M270" s="951"/>
      <c r="N270" s="951"/>
      <c r="O270" s="951"/>
      <c r="P270" s="951"/>
      <c r="Q270" s="951"/>
      <c r="R270" s="951"/>
      <c r="S270" s="951"/>
    </row>
    <row r="272" spans="1:20" ht="67.5" customHeight="1">
      <c r="A272" s="95" t="s">
        <v>278</v>
      </c>
      <c r="B272" s="936" t="s">
        <v>30</v>
      </c>
      <c r="C272" s="936"/>
      <c r="D272" s="936"/>
      <c r="E272" s="936"/>
      <c r="F272" s="936"/>
      <c r="G272" s="936"/>
      <c r="H272" s="936"/>
      <c r="I272" s="936"/>
      <c r="J272" s="936"/>
      <c r="K272" s="936"/>
      <c r="L272" s="936"/>
      <c r="M272" s="936"/>
      <c r="N272" s="936"/>
      <c r="O272" s="936"/>
      <c r="P272" s="936"/>
      <c r="Q272" s="936"/>
    </row>
    <row r="273" spans="1:20">
      <c r="A273" s="52"/>
      <c r="B273" s="908" t="s">
        <v>47</v>
      </c>
      <c r="C273" s="908"/>
      <c r="D273" s="908"/>
      <c r="E273" s="908"/>
      <c r="F273" s="908"/>
      <c r="G273" s="908"/>
      <c r="H273" s="908"/>
      <c r="I273" s="908"/>
      <c r="J273" s="908"/>
      <c r="K273" s="908"/>
      <c r="L273" s="908"/>
      <c r="M273" s="908"/>
      <c r="N273" s="908"/>
      <c r="O273" s="908"/>
      <c r="P273" s="908"/>
      <c r="Q273" s="908"/>
    </row>
    <row r="274" spans="1:20">
      <c r="A274" s="42"/>
      <c r="B274" s="908" t="s">
        <v>31</v>
      </c>
      <c r="C274" s="908"/>
      <c r="D274" s="908"/>
      <c r="E274" s="908"/>
      <c r="F274" s="908"/>
      <c r="G274" s="908"/>
      <c r="H274" s="908"/>
      <c r="I274" s="908"/>
      <c r="J274" s="908"/>
      <c r="K274" s="908"/>
      <c r="L274" s="908"/>
      <c r="M274" s="908"/>
      <c r="N274" s="908"/>
      <c r="O274" s="908"/>
      <c r="P274" s="908"/>
      <c r="Q274" s="908"/>
    </row>
    <row r="275" spans="1:20" ht="14.25">
      <c r="B275" s="5" t="s">
        <v>3</v>
      </c>
      <c r="C275" s="29" t="s">
        <v>0</v>
      </c>
      <c r="D275" s="20">
        <v>1</v>
      </c>
      <c r="E275" s="20" t="s">
        <v>1</v>
      </c>
      <c r="F275" s="7">
        <v>3</v>
      </c>
      <c r="G275" s="20" t="s">
        <v>1</v>
      </c>
      <c r="H275" s="7">
        <v>1.6</v>
      </c>
      <c r="I275" s="20" t="s">
        <v>1</v>
      </c>
      <c r="J275" s="7">
        <v>2.95</v>
      </c>
      <c r="K275" s="20"/>
      <c r="L275" s="20"/>
      <c r="M275" s="20"/>
      <c r="N275" s="20"/>
      <c r="O275" s="29" t="s">
        <v>0</v>
      </c>
      <c r="P275" s="2">
        <f>D275*F275*H275*J275</f>
        <v>14.160000000000004</v>
      </c>
      <c r="Q275" t="s">
        <v>7</v>
      </c>
    </row>
    <row r="276" spans="1:20">
      <c r="B276" s="949" t="s">
        <v>2</v>
      </c>
      <c r="C276" s="903" t="s">
        <v>0</v>
      </c>
      <c r="D276" s="892">
        <v>1</v>
      </c>
      <c r="E276" s="892" t="s">
        <v>1</v>
      </c>
      <c r="F276" s="893">
        <v>6</v>
      </c>
      <c r="G276" s="892" t="s">
        <v>1</v>
      </c>
      <c r="H276" s="893">
        <v>2.0499999999999998</v>
      </c>
      <c r="I276" s="892" t="s">
        <v>1</v>
      </c>
      <c r="J276" s="31">
        <v>3.3</v>
      </c>
      <c r="K276" s="32" t="s">
        <v>14</v>
      </c>
      <c r="L276" s="31">
        <v>4.5</v>
      </c>
      <c r="M276" s="20"/>
      <c r="N276" s="7"/>
      <c r="O276" s="903" t="s">
        <v>0</v>
      </c>
      <c r="P276" s="953">
        <f>((D276*F276*H276*(J276+L276)/2))</f>
        <v>47.969999999999992</v>
      </c>
      <c r="Q276" s="892" t="s">
        <v>7</v>
      </c>
    </row>
    <row r="277" spans="1:20">
      <c r="B277" s="949"/>
      <c r="C277" s="903"/>
      <c r="D277" s="892"/>
      <c r="E277" s="892"/>
      <c r="F277" s="893"/>
      <c r="G277" s="892"/>
      <c r="H277" s="893"/>
      <c r="I277" s="892"/>
      <c r="J277" s="7"/>
      <c r="K277" s="29">
        <v>2</v>
      </c>
      <c r="L277" s="20"/>
      <c r="M277" s="20"/>
      <c r="N277" s="7"/>
      <c r="O277" s="903"/>
      <c r="P277" s="953"/>
      <c r="Q277" s="892"/>
    </row>
    <row r="278" spans="1:20" ht="14.25">
      <c r="B278" s="6" t="s">
        <v>4</v>
      </c>
      <c r="C278" s="29" t="s">
        <v>0</v>
      </c>
      <c r="D278" s="20">
        <v>1</v>
      </c>
      <c r="E278" s="20" t="s">
        <v>1</v>
      </c>
      <c r="F278" s="7">
        <v>1.65</v>
      </c>
      <c r="G278" s="20" t="s">
        <v>1</v>
      </c>
      <c r="H278" s="7">
        <v>2.1</v>
      </c>
      <c r="I278" s="20" t="s">
        <v>1</v>
      </c>
      <c r="J278" s="7">
        <v>2.13</v>
      </c>
      <c r="K278" s="20"/>
      <c r="L278" s="20"/>
      <c r="M278" s="20"/>
      <c r="N278" s="7"/>
      <c r="O278" s="29" t="s">
        <v>0</v>
      </c>
      <c r="P278" s="2">
        <f>D278*F278*H278*J278</f>
        <v>7.3804499999999997</v>
      </c>
      <c r="Q278" t="s">
        <v>7</v>
      </c>
    </row>
    <row r="279" spans="1:20" ht="14.25">
      <c r="B279" s="6" t="s">
        <v>5</v>
      </c>
      <c r="C279" s="152" t="s">
        <v>0</v>
      </c>
      <c r="D279" s="150">
        <v>1</v>
      </c>
      <c r="E279" s="150" t="s">
        <v>1</v>
      </c>
      <c r="F279" s="149">
        <v>6.67</v>
      </c>
      <c r="G279" s="150" t="s">
        <v>1</v>
      </c>
      <c r="H279" s="149">
        <v>1.8</v>
      </c>
      <c r="I279" s="150" t="s">
        <v>1</v>
      </c>
      <c r="J279" s="149">
        <v>2.13</v>
      </c>
      <c r="K279" s="20"/>
      <c r="L279" s="20"/>
      <c r="M279" s="20"/>
      <c r="N279" s="7"/>
      <c r="O279" s="29" t="s">
        <v>0</v>
      </c>
      <c r="P279" s="2">
        <f>D279*F279*H279*J279</f>
        <v>25.572779999999998</v>
      </c>
      <c r="Q279" t="s">
        <v>7</v>
      </c>
    </row>
    <row r="280" spans="1:20" ht="14.25">
      <c r="B280" s="6" t="s">
        <v>6</v>
      </c>
      <c r="C280" s="29" t="s">
        <v>0</v>
      </c>
      <c r="D280" s="20">
        <v>1</v>
      </c>
      <c r="E280" s="20" t="s">
        <v>1</v>
      </c>
      <c r="F280" s="7">
        <v>3</v>
      </c>
      <c r="G280" s="20" t="s">
        <v>1</v>
      </c>
      <c r="H280" s="7">
        <v>3</v>
      </c>
      <c r="I280" s="20" t="s">
        <v>1</v>
      </c>
      <c r="J280" s="7">
        <v>0.25</v>
      </c>
      <c r="K280" s="33"/>
      <c r="L280" s="33"/>
      <c r="M280" s="30"/>
      <c r="N280" s="31"/>
      <c r="O280" s="32" t="s">
        <v>0</v>
      </c>
      <c r="P280" s="12">
        <f>D280*F280*H280*J280</f>
        <v>2.25</v>
      </c>
      <c r="Q280" s="13" t="s">
        <v>7</v>
      </c>
    </row>
    <row r="281" spans="1:20" ht="14.25">
      <c r="C281" s="1"/>
      <c r="F281" s="2"/>
      <c r="H281" s="2"/>
      <c r="I281" s="1"/>
      <c r="J281" s="2"/>
      <c r="N281" s="7" t="s">
        <v>8</v>
      </c>
      <c r="O281" s="1" t="s">
        <v>0</v>
      </c>
      <c r="P281" s="2">
        <f>SUM(P275:P280)</f>
        <v>97.333229999999986</v>
      </c>
      <c r="Q281" t="s">
        <v>7</v>
      </c>
    </row>
    <row r="282" spans="1:20" ht="14.25">
      <c r="B282" s="43"/>
      <c r="C282" s="1"/>
      <c r="F282" s="2"/>
      <c r="H282" s="7"/>
      <c r="I282" s="7"/>
      <c r="J282" s="886" t="s">
        <v>9</v>
      </c>
      <c r="K282" s="886"/>
      <c r="L282" s="891">
        <v>56</v>
      </c>
      <c r="M282" s="891"/>
      <c r="N282" s="906" t="s">
        <v>10</v>
      </c>
      <c r="O282" s="907"/>
      <c r="P282" s="2"/>
      <c r="R282" s="29" t="s">
        <v>0</v>
      </c>
      <c r="S282" s="16" t="s">
        <v>11</v>
      </c>
      <c r="T282" s="11">
        <f>ROUND(P281*L282,0)</f>
        <v>5451</v>
      </c>
    </row>
    <row r="283" spans="1:20">
      <c r="B283" s="43"/>
      <c r="C283" s="1"/>
      <c r="F283" s="2"/>
      <c r="H283" s="7"/>
      <c r="I283" s="7"/>
      <c r="J283" s="8"/>
      <c r="K283" s="8"/>
      <c r="L283" s="17"/>
      <c r="M283" s="17"/>
      <c r="N283" s="9"/>
      <c r="O283" s="10"/>
      <c r="P283" s="2"/>
      <c r="R283" s="29"/>
      <c r="S283" s="16"/>
      <c r="T283" s="11"/>
    </row>
    <row r="284" spans="1:20">
      <c r="C284" s="1"/>
      <c r="F284" s="2"/>
      <c r="P284" s="2"/>
    </row>
    <row r="285" spans="1:20">
      <c r="C285" s="1"/>
      <c r="F285" s="2"/>
      <c r="H285" s="7"/>
      <c r="I285" s="7"/>
      <c r="J285" s="2"/>
      <c r="K285" s="9"/>
      <c r="L285" s="9"/>
      <c r="M285" s="9"/>
      <c r="N285" s="10"/>
      <c r="O285" s="1"/>
      <c r="P285" s="2"/>
    </row>
    <row r="286" spans="1:20" ht="25.5">
      <c r="A286" s="95" t="s">
        <v>280</v>
      </c>
      <c r="B286" s="908" t="s">
        <v>33</v>
      </c>
      <c r="C286" s="908"/>
      <c r="D286" s="908"/>
      <c r="E286" s="908"/>
      <c r="F286" s="908"/>
      <c r="G286" s="908"/>
      <c r="H286" s="908"/>
      <c r="I286" s="908"/>
      <c r="J286" s="908"/>
      <c r="K286" s="908"/>
      <c r="L286" s="908"/>
      <c r="M286" s="908"/>
      <c r="N286" s="908"/>
      <c r="O286" s="908"/>
      <c r="P286" s="908"/>
      <c r="Q286" s="908"/>
    </row>
    <row r="287" spans="1:20">
      <c r="B287" s="5"/>
      <c r="C287" s="29"/>
      <c r="D287" s="20"/>
      <c r="E287" s="20"/>
      <c r="F287" s="7"/>
      <c r="G287" s="20"/>
      <c r="H287" s="7"/>
      <c r="I287" s="20"/>
      <c r="J287" s="7"/>
      <c r="K287" s="20"/>
      <c r="L287" s="20"/>
      <c r="M287" s="20"/>
      <c r="N287" s="20"/>
      <c r="O287" s="29"/>
      <c r="P287" s="2"/>
    </row>
    <row r="288" spans="1:20">
      <c r="B288" s="899" t="s">
        <v>5</v>
      </c>
      <c r="C288" s="900" t="s">
        <v>0</v>
      </c>
      <c r="D288" s="901">
        <v>1</v>
      </c>
      <c r="E288" s="901" t="s">
        <v>1</v>
      </c>
      <c r="F288" s="147">
        <v>7.86</v>
      </c>
      <c r="G288" s="148" t="s">
        <v>14</v>
      </c>
      <c r="H288" s="147">
        <v>7.74</v>
      </c>
      <c r="I288" s="901" t="s">
        <v>1</v>
      </c>
      <c r="J288" s="916">
        <v>1.8</v>
      </c>
      <c r="K288" s="901" t="s">
        <v>1</v>
      </c>
      <c r="L288" s="916">
        <v>0.25</v>
      </c>
      <c r="M288" s="33"/>
      <c r="N288" s="34"/>
      <c r="O288" s="937" t="s">
        <v>0</v>
      </c>
      <c r="P288" s="939">
        <f>ROUND((L288*J288*D288)*(F288+H288)/2,2)</f>
        <v>3.51</v>
      </c>
      <c r="Q288" s="948" t="s">
        <v>7</v>
      </c>
    </row>
    <row r="289" spans="1:20">
      <c r="B289" s="899"/>
      <c r="C289" s="900"/>
      <c r="D289" s="901"/>
      <c r="E289" s="901"/>
      <c r="F289" s="151"/>
      <c r="G289" s="151">
        <v>2</v>
      </c>
      <c r="H289" s="151"/>
      <c r="I289" s="901"/>
      <c r="J289" s="916"/>
      <c r="K289" s="901"/>
      <c r="L289" s="916"/>
      <c r="O289" s="937"/>
      <c r="P289" s="939"/>
      <c r="Q289" s="948"/>
    </row>
    <row r="290" spans="1:20" ht="14.25">
      <c r="B290" s="6" t="s">
        <v>4</v>
      </c>
      <c r="C290" s="29" t="s">
        <v>0</v>
      </c>
      <c r="D290" s="20">
        <v>1</v>
      </c>
      <c r="E290" s="20" t="s">
        <v>1</v>
      </c>
      <c r="F290" s="7">
        <v>1.2</v>
      </c>
      <c r="G290" s="20" t="s">
        <v>1</v>
      </c>
      <c r="H290" s="7">
        <v>1.4</v>
      </c>
      <c r="I290" s="20" t="s">
        <v>1</v>
      </c>
      <c r="J290" s="7">
        <v>0.25</v>
      </c>
      <c r="K290" s="33"/>
      <c r="L290" s="33"/>
      <c r="M290" s="33"/>
      <c r="N290" s="34"/>
      <c r="O290" s="35" t="s">
        <v>0</v>
      </c>
      <c r="P290" s="2">
        <f>ROUND(D290*F290*H290*J290,2)</f>
        <v>0.42</v>
      </c>
      <c r="Q290" s="18" t="s">
        <v>7</v>
      </c>
    </row>
    <row r="291" spans="1:20" ht="14.25">
      <c r="B291" s="6" t="s">
        <v>6</v>
      </c>
      <c r="C291" s="29" t="s">
        <v>0</v>
      </c>
      <c r="D291" s="20">
        <v>1</v>
      </c>
      <c r="E291" s="20" t="s">
        <v>1</v>
      </c>
      <c r="F291" s="7">
        <v>3</v>
      </c>
      <c r="G291" s="20" t="s">
        <v>1</v>
      </c>
      <c r="H291" s="7">
        <v>3</v>
      </c>
      <c r="I291" s="20" t="s">
        <v>1</v>
      </c>
      <c r="J291" s="7">
        <v>0.25</v>
      </c>
      <c r="K291" s="33"/>
      <c r="L291" s="33"/>
      <c r="M291" s="30"/>
      <c r="N291" s="31"/>
      <c r="O291" s="32" t="s">
        <v>0</v>
      </c>
      <c r="P291" s="12">
        <f>ROUND(D291*F291*H291*J291,2)</f>
        <v>2.25</v>
      </c>
      <c r="Q291" s="13" t="s">
        <v>7</v>
      </c>
    </row>
    <row r="292" spans="1:20" ht="14.25">
      <c r="N292" s="7" t="s">
        <v>8</v>
      </c>
      <c r="O292" s="1" t="s">
        <v>0</v>
      </c>
      <c r="P292" s="2">
        <f>SUM(P287:P291)</f>
        <v>6.18</v>
      </c>
      <c r="Q292" t="s">
        <v>7</v>
      </c>
    </row>
    <row r="293" spans="1:20" ht="14.25">
      <c r="J293" s="886" t="s">
        <v>9</v>
      </c>
      <c r="K293" s="886"/>
      <c r="L293" s="891">
        <v>705</v>
      </c>
      <c r="M293" s="891"/>
      <c r="N293" s="906" t="s">
        <v>10</v>
      </c>
      <c r="O293" s="907"/>
      <c r="P293" s="2"/>
      <c r="R293" s="29" t="s">
        <v>0</v>
      </c>
      <c r="S293" s="16" t="s">
        <v>11</v>
      </c>
      <c r="T293" s="11">
        <f>ROUND(P292*L293,0)</f>
        <v>4357</v>
      </c>
    </row>
    <row r="294" spans="1:20">
      <c r="H294" s="8"/>
      <c r="I294" s="8"/>
      <c r="L294" s="17"/>
      <c r="M294" s="17"/>
      <c r="N294" s="9"/>
      <c r="O294" s="10"/>
      <c r="P294" s="2"/>
      <c r="T294" s="11"/>
    </row>
    <row r="295" spans="1:20">
      <c r="H295" s="8"/>
      <c r="I295" s="8"/>
      <c r="L295" s="17"/>
      <c r="M295" s="17"/>
      <c r="N295" s="9"/>
      <c r="O295" s="10"/>
      <c r="P295" s="2"/>
      <c r="T295" s="11"/>
    </row>
    <row r="296" spans="1:20">
      <c r="H296" s="8"/>
      <c r="I296" s="8"/>
      <c r="J296" s="17"/>
      <c r="K296" s="17"/>
      <c r="L296" s="17"/>
      <c r="M296" s="17"/>
      <c r="N296" s="9"/>
      <c r="O296" s="10"/>
      <c r="P296" s="2"/>
      <c r="T296" s="11"/>
    </row>
    <row r="297" spans="1:20" ht="44.25" customHeight="1">
      <c r="A297" s="95" t="s">
        <v>281</v>
      </c>
      <c r="B297" s="936" t="s">
        <v>34</v>
      </c>
      <c r="C297" s="936"/>
      <c r="D297" s="936"/>
      <c r="E297" s="936"/>
      <c r="F297" s="936"/>
      <c r="G297" s="936"/>
      <c r="H297" s="936"/>
      <c r="I297" s="936"/>
      <c r="J297" s="936"/>
      <c r="K297" s="936"/>
      <c r="L297" s="936"/>
      <c r="M297" s="936"/>
      <c r="N297" s="936"/>
      <c r="O297" s="936"/>
      <c r="P297" s="936"/>
      <c r="Q297" s="936"/>
    </row>
    <row r="298" spans="1:20" ht="14.25">
      <c r="B298" s="5" t="s">
        <v>3</v>
      </c>
      <c r="C298" s="29" t="s">
        <v>0</v>
      </c>
      <c r="D298" s="20">
        <v>1</v>
      </c>
      <c r="E298" s="20" t="s">
        <v>1</v>
      </c>
      <c r="F298" s="7">
        <v>3</v>
      </c>
      <c r="G298" s="20" t="s">
        <v>1</v>
      </c>
      <c r="H298" s="7">
        <v>1.6</v>
      </c>
      <c r="I298" s="20" t="s">
        <v>1</v>
      </c>
      <c r="J298" s="7">
        <v>0.15</v>
      </c>
      <c r="K298" s="20"/>
      <c r="L298" s="20"/>
      <c r="M298" s="20"/>
      <c r="N298" s="20"/>
      <c r="O298" s="29" t="s">
        <v>0</v>
      </c>
      <c r="P298" s="2">
        <f>ROUND(D298*F298*H298*J298,2)</f>
        <v>0.72</v>
      </c>
      <c r="Q298" t="s">
        <v>7</v>
      </c>
    </row>
    <row r="299" spans="1:20" ht="14.25">
      <c r="B299" s="5" t="s">
        <v>2</v>
      </c>
      <c r="C299" s="29" t="s">
        <v>0</v>
      </c>
      <c r="D299" s="20">
        <v>1</v>
      </c>
      <c r="E299" s="20" t="s">
        <v>1</v>
      </c>
      <c r="F299" s="7">
        <v>6</v>
      </c>
      <c r="G299" s="20" t="s">
        <v>1</v>
      </c>
      <c r="H299" s="7">
        <v>2.0299999999999998</v>
      </c>
      <c r="I299" s="20" t="s">
        <v>1</v>
      </c>
      <c r="J299" s="7">
        <v>0.15</v>
      </c>
      <c r="K299" s="20"/>
      <c r="L299" s="20"/>
      <c r="M299" s="20"/>
      <c r="N299" s="7"/>
      <c r="O299" s="29" t="s">
        <v>0</v>
      </c>
      <c r="P299" s="2">
        <f>ROUND(D299*F299*H299*J299,2)</f>
        <v>1.83</v>
      </c>
      <c r="Q299" t="s">
        <v>7</v>
      </c>
    </row>
    <row r="300" spans="1:20" ht="14.25">
      <c r="B300" s="6" t="s">
        <v>4</v>
      </c>
      <c r="C300" s="29" t="s">
        <v>0</v>
      </c>
      <c r="D300" s="20">
        <v>1</v>
      </c>
      <c r="E300" s="20" t="s">
        <v>1</v>
      </c>
      <c r="F300" s="7">
        <v>1.2</v>
      </c>
      <c r="G300" s="20" t="s">
        <v>1</v>
      </c>
      <c r="H300" s="7">
        <v>1.2</v>
      </c>
      <c r="I300" s="20" t="s">
        <v>1</v>
      </c>
      <c r="J300" s="7">
        <v>0.15</v>
      </c>
      <c r="K300" s="20"/>
      <c r="L300" s="20"/>
      <c r="M300" s="30"/>
      <c r="N300" s="31"/>
      <c r="O300" s="32" t="s">
        <v>0</v>
      </c>
      <c r="P300" s="12">
        <f>ROUND(D300*F300*H300*J300,2)</f>
        <v>0.22</v>
      </c>
      <c r="Q300" s="13" t="s">
        <v>7</v>
      </c>
    </row>
    <row r="301" spans="1:20" ht="14.25">
      <c r="D301" s="15"/>
      <c r="E301" s="15"/>
      <c r="F301" s="15"/>
      <c r="G301" s="15"/>
      <c r="K301" s="15"/>
      <c r="L301" s="15"/>
      <c r="M301" s="15"/>
      <c r="N301" s="7" t="s">
        <v>8</v>
      </c>
      <c r="O301" s="1" t="s">
        <v>0</v>
      </c>
      <c r="P301" s="2">
        <f>SUM(P298:P300)</f>
        <v>2.77</v>
      </c>
      <c r="Q301" t="s">
        <v>7</v>
      </c>
    </row>
    <row r="302" spans="1:20" ht="14.25">
      <c r="G302" s="891" t="s">
        <v>21</v>
      </c>
      <c r="H302" s="890"/>
      <c r="I302" s="891">
        <v>3133</v>
      </c>
      <c r="J302" s="891"/>
      <c r="K302" s="891"/>
      <c r="L302" s="906" t="s">
        <v>10</v>
      </c>
      <c r="M302" s="907"/>
      <c r="P302" s="2"/>
      <c r="R302" s="29" t="s">
        <v>0</v>
      </c>
      <c r="S302" s="16" t="s">
        <v>11</v>
      </c>
      <c r="T302" s="11">
        <f>ROUND(P301*I302,0)</f>
        <v>8678</v>
      </c>
    </row>
    <row r="303" spans="1:20">
      <c r="H303" s="8"/>
      <c r="I303" s="8"/>
      <c r="J303" s="17"/>
      <c r="K303" s="17"/>
      <c r="L303" s="17"/>
      <c r="M303" s="17"/>
      <c r="N303" s="9"/>
      <c r="O303" s="10"/>
      <c r="P303" s="2"/>
      <c r="T303" s="11"/>
    </row>
    <row r="304" spans="1:20">
      <c r="H304" s="8"/>
      <c r="I304" s="8"/>
      <c r="J304" s="17"/>
      <c r="K304" s="17"/>
      <c r="L304" s="17"/>
      <c r="M304" s="17"/>
      <c r="N304" s="9"/>
      <c r="O304" s="10"/>
      <c r="P304" s="12"/>
      <c r="Q304" s="13"/>
      <c r="R304" s="13"/>
      <c r="S304" s="13"/>
      <c r="T304" s="27"/>
    </row>
    <row r="305" spans="1:20">
      <c r="P305" s="950" t="s">
        <v>29</v>
      </c>
      <c r="Q305" s="950"/>
      <c r="R305" s="50" t="s">
        <v>0</v>
      </c>
      <c r="S305" s="49" t="s">
        <v>11</v>
      </c>
      <c r="T305" s="28">
        <f>SUM(T282:T304)</f>
        <v>18486</v>
      </c>
    </row>
    <row r="306" spans="1:20">
      <c r="P306" s="58"/>
      <c r="Q306" s="58"/>
      <c r="R306" s="50"/>
      <c r="S306" s="49"/>
      <c r="T306" s="28"/>
    </row>
    <row r="307" spans="1:20">
      <c r="P307" s="58"/>
      <c r="Q307" s="58"/>
      <c r="R307" s="50"/>
      <c r="S307" s="49"/>
      <c r="T307" s="28"/>
    </row>
    <row r="308" spans="1:20">
      <c r="P308" s="58"/>
      <c r="Q308" s="58"/>
      <c r="R308" s="50"/>
      <c r="S308" s="49"/>
      <c r="T308" s="28"/>
    </row>
    <row r="309" spans="1:20">
      <c r="P309" s="58"/>
      <c r="Q309" s="58"/>
      <c r="R309" s="50"/>
      <c r="S309" s="49"/>
      <c r="T309" s="28"/>
    </row>
    <row r="310" spans="1:20">
      <c r="P310" s="58"/>
      <c r="Q310" s="58"/>
      <c r="R310" s="50"/>
      <c r="S310" s="49"/>
      <c r="T310" s="28"/>
    </row>
    <row r="311" spans="1:20">
      <c r="P311" s="58"/>
      <c r="Q311" s="58"/>
      <c r="R311" s="50"/>
      <c r="S311" s="49"/>
      <c r="T311" s="28"/>
    </row>
    <row r="312" spans="1:20">
      <c r="P312" s="58"/>
      <c r="Q312" s="58"/>
      <c r="R312" s="50"/>
      <c r="S312" s="49"/>
      <c r="T312" s="28"/>
    </row>
    <row r="313" spans="1:20">
      <c r="R313" s="20"/>
    </row>
    <row r="314" spans="1:20">
      <c r="P314" s="895" t="s">
        <v>25</v>
      </c>
      <c r="Q314" s="895"/>
      <c r="R314" s="50" t="s">
        <v>0</v>
      </c>
      <c r="S314" s="49" t="s">
        <v>11</v>
      </c>
      <c r="T314" s="28">
        <f>$T$305</f>
        <v>18486</v>
      </c>
    </row>
    <row r="315" spans="1:20" ht="38.25">
      <c r="A315" s="95" t="s">
        <v>282</v>
      </c>
      <c r="B315" s="908" t="s">
        <v>35</v>
      </c>
      <c r="C315" s="908"/>
      <c r="D315" s="908"/>
      <c r="E315" s="908"/>
      <c r="F315" s="908"/>
      <c r="G315" s="908"/>
      <c r="H315" s="908"/>
      <c r="I315" s="908"/>
      <c r="J315" s="908"/>
      <c r="K315" s="908"/>
      <c r="L315" s="908"/>
      <c r="M315" s="908"/>
      <c r="N315" s="908"/>
      <c r="O315" s="908"/>
      <c r="P315" s="908"/>
      <c r="Q315" s="908"/>
    </row>
    <row r="316" spans="1:20">
      <c r="B316" s="949" t="s">
        <v>3</v>
      </c>
      <c r="C316" s="903" t="s">
        <v>0</v>
      </c>
      <c r="D316" s="892">
        <v>1</v>
      </c>
      <c r="E316" s="892" t="s">
        <v>1</v>
      </c>
      <c r="F316" s="893">
        <v>3</v>
      </c>
      <c r="G316" s="892" t="s">
        <v>1</v>
      </c>
      <c r="H316" s="31">
        <v>0.6</v>
      </c>
      <c r="I316" s="32" t="s">
        <v>14</v>
      </c>
      <c r="J316" s="31">
        <v>1.3</v>
      </c>
      <c r="K316" s="892" t="s">
        <v>1</v>
      </c>
      <c r="L316" s="893">
        <v>2.8</v>
      </c>
      <c r="M316" s="38"/>
      <c r="N316" s="40"/>
      <c r="O316" s="903" t="s">
        <v>0</v>
      </c>
      <c r="P316" s="896">
        <f>(L316*F316*D316*(H316+J316)/2)</f>
        <v>7.9799999999999986</v>
      </c>
      <c r="Q316" s="915" t="s">
        <v>7</v>
      </c>
    </row>
    <row r="317" spans="1:20">
      <c r="B317" s="949"/>
      <c r="C317" s="903"/>
      <c r="D317" s="892"/>
      <c r="E317" s="892"/>
      <c r="F317" s="893"/>
      <c r="G317" s="892"/>
      <c r="H317" s="7"/>
      <c r="I317" s="29">
        <v>2</v>
      </c>
      <c r="J317" s="7"/>
      <c r="K317" s="892"/>
      <c r="L317" s="893"/>
      <c r="M317" s="38"/>
      <c r="N317" s="38"/>
      <c r="O317" s="903"/>
      <c r="P317" s="896"/>
      <c r="Q317" s="915"/>
    </row>
    <row r="318" spans="1:20">
      <c r="B318" s="949" t="s">
        <v>2</v>
      </c>
      <c r="C318" s="903" t="s">
        <v>0</v>
      </c>
      <c r="D318" s="892">
        <v>1</v>
      </c>
      <c r="E318" s="892" t="s">
        <v>1</v>
      </c>
      <c r="F318" s="893">
        <v>6</v>
      </c>
      <c r="G318" s="892" t="s">
        <v>1</v>
      </c>
      <c r="H318" s="31">
        <v>0.6</v>
      </c>
      <c r="I318" s="32" t="s">
        <v>14</v>
      </c>
      <c r="J318" s="31">
        <v>1.73</v>
      </c>
      <c r="K318" s="892" t="s">
        <v>1</v>
      </c>
      <c r="L318" s="893">
        <v>4.5</v>
      </c>
      <c r="M318" s="38"/>
      <c r="N318" s="40"/>
      <c r="O318" s="903" t="s">
        <v>0</v>
      </c>
      <c r="P318" s="896">
        <f>(L318*F318*D318*(H318+J318)/2)</f>
        <v>31.455000000000002</v>
      </c>
      <c r="Q318" s="915" t="s">
        <v>7</v>
      </c>
    </row>
    <row r="319" spans="1:20">
      <c r="B319" s="949"/>
      <c r="C319" s="903"/>
      <c r="D319" s="892"/>
      <c r="E319" s="892"/>
      <c r="F319" s="893"/>
      <c r="G319" s="892"/>
      <c r="H319" s="7"/>
      <c r="I319" s="29">
        <v>2</v>
      </c>
      <c r="J319" s="7"/>
      <c r="K319" s="892"/>
      <c r="L319" s="893"/>
      <c r="M319" s="38"/>
      <c r="N319" s="38"/>
      <c r="O319" s="903"/>
      <c r="P319" s="896"/>
      <c r="Q319" s="915"/>
    </row>
    <row r="320" spans="1:20" ht="14.25">
      <c r="B320" s="6" t="s">
        <v>4</v>
      </c>
      <c r="C320" s="29" t="s">
        <v>0</v>
      </c>
      <c r="D320" s="20">
        <v>1</v>
      </c>
      <c r="E320" s="20" t="s">
        <v>1</v>
      </c>
      <c r="F320" s="7">
        <v>2.1</v>
      </c>
      <c r="G320" s="20" t="s">
        <v>1</v>
      </c>
      <c r="H320" s="7">
        <v>0.45</v>
      </c>
      <c r="I320" s="20" t="s">
        <v>1</v>
      </c>
      <c r="J320" s="44">
        <v>1.7749999999999999</v>
      </c>
      <c r="K320" s="20"/>
      <c r="L320" s="20"/>
      <c r="M320" s="20"/>
      <c r="N320" s="7"/>
      <c r="O320" s="29" t="s">
        <v>0</v>
      </c>
      <c r="P320" s="2">
        <f t="shared" ref="P320:P328" si="0">D320*F320*H320*J320</f>
        <v>1.6773750000000001</v>
      </c>
      <c r="Q320" t="s">
        <v>7</v>
      </c>
    </row>
    <row r="321" spans="1:20" ht="14.25">
      <c r="B321" s="6"/>
      <c r="C321" s="29" t="s">
        <v>0</v>
      </c>
      <c r="D321" s="20">
        <v>2</v>
      </c>
      <c r="E321" s="20" t="s">
        <v>1</v>
      </c>
      <c r="F321" s="7">
        <v>1.2</v>
      </c>
      <c r="G321" s="20" t="s">
        <v>1</v>
      </c>
      <c r="H321" s="7">
        <v>0.45</v>
      </c>
      <c r="I321" s="20" t="s">
        <v>1</v>
      </c>
      <c r="J321" s="44">
        <v>1.7749999999999999</v>
      </c>
      <c r="K321" s="20"/>
      <c r="L321" s="20"/>
      <c r="M321" s="20"/>
      <c r="N321" s="7"/>
      <c r="O321" s="29" t="s">
        <v>0</v>
      </c>
      <c r="P321" s="2">
        <f t="shared" si="0"/>
        <v>1.917</v>
      </c>
      <c r="Q321" t="s">
        <v>7</v>
      </c>
    </row>
    <row r="322" spans="1:20" ht="14.25">
      <c r="B322" s="6" t="s">
        <v>6</v>
      </c>
      <c r="C322" s="29" t="s">
        <v>0</v>
      </c>
      <c r="D322" s="20">
        <v>1</v>
      </c>
      <c r="E322" s="20" t="s">
        <v>1</v>
      </c>
      <c r="F322" s="7">
        <v>3</v>
      </c>
      <c r="G322" s="20" t="s">
        <v>1</v>
      </c>
      <c r="H322" s="7">
        <v>2.25</v>
      </c>
      <c r="I322" s="20" t="s">
        <v>1</v>
      </c>
      <c r="J322" s="7">
        <v>0.3</v>
      </c>
      <c r="K322" s="33"/>
      <c r="L322" s="33"/>
      <c r="M322" s="33"/>
      <c r="N322" s="34"/>
      <c r="O322" s="35" t="s">
        <v>0</v>
      </c>
      <c r="P322" s="19">
        <f t="shared" si="0"/>
        <v>2.0249999999999999</v>
      </c>
      <c r="Q322" s="18" t="s">
        <v>7</v>
      </c>
    </row>
    <row r="323" spans="1:20" ht="14.25">
      <c r="B323" s="6"/>
      <c r="C323" s="29" t="s">
        <v>0</v>
      </c>
      <c r="D323" s="20">
        <v>1</v>
      </c>
      <c r="E323" s="20" t="s">
        <v>1</v>
      </c>
      <c r="F323" s="7">
        <v>3</v>
      </c>
      <c r="G323" s="20" t="s">
        <v>1</v>
      </c>
      <c r="H323" s="7">
        <v>1.8</v>
      </c>
      <c r="I323" s="20" t="s">
        <v>1</v>
      </c>
      <c r="J323" s="7">
        <v>0.3</v>
      </c>
      <c r="K323" s="33"/>
      <c r="L323" s="33"/>
      <c r="M323" s="33"/>
      <c r="N323" s="34"/>
      <c r="O323" s="35" t="s">
        <v>0</v>
      </c>
      <c r="P323" s="19">
        <f t="shared" si="0"/>
        <v>1.62</v>
      </c>
      <c r="Q323" s="18" t="s">
        <v>7</v>
      </c>
    </row>
    <row r="324" spans="1:20" ht="14.25">
      <c r="B324" s="6"/>
      <c r="C324" s="29" t="s">
        <v>0</v>
      </c>
      <c r="D324" s="20">
        <v>1</v>
      </c>
      <c r="E324" s="20" t="s">
        <v>1</v>
      </c>
      <c r="F324" s="7">
        <v>3</v>
      </c>
      <c r="G324" s="20" t="s">
        <v>1</v>
      </c>
      <c r="H324" s="7">
        <v>1.35</v>
      </c>
      <c r="I324" s="20" t="s">
        <v>1</v>
      </c>
      <c r="J324" s="7">
        <v>0.3</v>
      </c>
      <c r="K324" s="33"/>
      <c r="L324" s="33"/>
      <c r="M324" s="33"/>
      <c r="N324" s="34"/>
      <c r="O324" s="35" t="s">
        <v>0</v>
      </c>
      <c r="P324" s="19">
        <f t="shared" si="0"/>
        <v>1.2150000000000001</v>
      </c>
      <c r="Q324" s="18" t="s">
        <v>7</v>
      </c>
    </row>
    <row r="325" spans="1:20" ht="14.25">
      <c r="B325" s="6"/>
      <c r="C325" s="29" t="s">
        <v>0</v>
      </c>
      <c r="D325" s="20">
        <v>1</v>
      </c>
      <c r="E325" s="20" t="s">
        <v>1</v>
      </c>
      <c r="F325" s="7">
        <v>3</v>
      </c>
      <c r="G325" s="20" t="s">
        <v>1</v>
      </c>
      <c r="H325" s="7">
        <v>0.9</v>
      </c>
      <c r="I325" s="20" t="s">
        <v>1</v>
      </c>
      <c r="J325" s="7">
        <v>0.3</v>
      </c>
      <c r="K325" s="33"/>
      <c r="L325" s="33"/>
      <c r="M325" s="33"/>
      <c r="N325" s="34"/>
      <c r="O325" s="35" t="s">
        <v>0</v>
      </c>
      <c r="P325" s="19">
        <f>D325*F325*H325*J325</f>
        <v>0.81</v>
      </c>
      <c r="Q325" s="18" t="s">
        <v>7</v>
      </c>
    </row>
    <row r="326" spans="1:20" ht="14.25">
      <c r="B326" s="6"/>
      <c r="C326" s="29" t="s">
        <v>0</v>
      </c>
      <c r="D326" s="20">
        <v>1</v>
      </c>
      <c r="E326" s="20" t="s">
        <v>1</v>
      </c>
      <c r="F326" s="7">
        <v>3</v>
      </c>
      <c r="G326" s="20" t="s">
        <v>1</v>
      </c>
      <c r="H326" s="7">
        <v>0.45</v>
      </c>
      <c r="I326" s="20" t="s">
        <v>1</v>
      </c>
      <c r="J326" s="7">
        <v>0.3</v>
      </c>
      <c r="K326" s="33"/>
      <c r="L326" s="33"/>
      <c r="M326" s="33"/>
      <c r="N326" s="34"/>
      <c r="O326" s="35" t="s">
        <v>0</v>
      </c>
      <c r="P326" s="19">
        <f>D326*F326*H326*J326</f>
        <v>0.40500000000000003</v>
      </c>
      <c r="Q326" s="18" t="s">
        <v>7</v>
      </c>
    </row>
    <row r="327" spans="1:20" ht="14.25">
      <c r="B327" s="5" t="s">
        <v>15</v>
      </c>
      <c r="C327" s="29" t="s">
        <v>0</v>
      </c>
      <c r="D327" s="20">
        <v>1</v>
      </c>
      <c r="E327" s="20" t="s">
        <v>1</v>
      </c>
      <c r="F327" s="7">
        <v>3</v>
      </c>
      <c r="G327" s="20" t="s">
        <v>1</v>
      </c>
      <c r="H327" s="7">
        <v>0.6</v>
      </c>
      <c r="I327" s="20" t="s">
        <v>1</v>
      </c>
      <c r="J327" s="7">
        <v>0.6</v>
      </c>
      <c r="K327" s="33"/>
      <c r="L327" s="33"/>
      <c r="M327" s="33"/>
      <c r="N327" s="34"/>
      <c r="O327" s="35" t="s">
        <v>0</v>
      </c>
      <c r="P327" s="19">
        <f t="shared" si="0"/>
        <v>1.0799999999999998</v>
      </c>
      <c r="Q327" s="18" t="s">
        <v>7</v>
      </c>
    </row>
    <row r="328" spans="1:20" ht="14.25">
      <c r="C328" s="29" t="s">
        <v>0</v>
      </c>
      <c r="D328" s="20">
        <v>2</v>
      </c>
      <c r="E328" s="20" t="s">
        <v>1</v>
      </c>
      <c r="F328" s="7">
        <v>2.5</v>
      </c>
      <c r="G328" s="20" t="s">
        <v>1</v>
      </c>
      <c r="H328" s="7">
        <v>0.6</v>
      </c>
      <c r="I328" s="20" t="s">
        <v>1</v>
      </c>
      <c r="J328" s="7">
        <v>0.6</v>
      </c>
      <c r="K328" s="33"/>
      <c r="L328" s="33"/>
      <c r="M328" s="30"/>
      <c r="N328" s="31"/>
      <c r="O328" s="32" t="s">
        <v>0</v>
      </c>
      <c r="P328" s="12">
        <f t="shared" si="0"/>
        <v>1.7999999999999998</v>
      </c>
      <c r="Q328" s="13" t="s">
        <v>7</v>
      </c>
    </row>
    <row r="329" spans="1:20" ht="14.25">
      <c r="C329" s="29"/>
      <c r="D329" s="20"/>
      <c r="E329" s="20"/>
      <c r="F329" s="7"/>
      <c r="G329" s="20"/>
      <c r="H329" s="7"/>
      <c r="I329" s="20"/>
      <c r="J329" s="7"/>
      <c r="K329" s="33"/>
      <c r="L329" s="33"/>
      <c r="M329" s="33"/>
      <c r="N329" s="7" t="s">
        <v>8</v>
      </c>
      <c r="O329" s="35" t="s">
        <v>0</v>
      </c>
      <c r="P329" s="19">
        <f>SUM(P316:P328)</f>
        <v>51.984375</v>
      </c>
      <c r="Q329" s="18" t="s">
        <v>7</v>
      </c>
    </row>
    <row r="330" spans="1:20">
      <c r="B330" s="947" t="s">
        <v>12</v>
      </c>
      <c r="C330" s="903" t="s">
        <v>0</v>
      </c>
      <c r="D330" s="892">
        <v>2</v>
      </c>
      <c r="E330" s="892" t="s">
        <v>1</v>
      </c>
      <c r="F330" s="45">
        <v>1.05</v>
      </c>
      <c r="G330" s="46" t="s">
        <v>14</v>
      </c>
      <c r="H330" s="31">
        <v>0.75</v>
      </c>
      <c r="I330" s="892" t="s">
        <v>1</v>
      </c>
      <c r="J330" s="31">
        <v>3.14</v>
      </c>
      <c r="K330" s="892" t="s">
        <v>1</v>
      </c>
      <c r="L330" s="893">
        <v>1.2</v>
      </c>
      <c r="M330" s="941" t="s">
        <v>1</v>
      </c>
      <c r="N330" s="943">
        <v>1.2</v>
      </c>
      <c r="O330" s="937" t="s">
        <v>0</v>
      </c>
      <c r="P330" s="945">
        <f>((N330*L330*D330*(J330/J331)*(F330+H330)/G331))</f>
        <v>2.0347200000000001</v>
      </c>
      <c r="Q330" s="948" t="s">
        <v>7</v>
      </c>
    </row>
    <row r="331" spans="1:20">
      <c r="B331" s="898"/>
      <c r="C331" s="892"/>
      <c r="D331" s="892"/>
      <c r="E331" s="892"/>
      <c r="F331" s="38"/>
      <c r="G331" s="38">
        <v>2</v>
      </c>
      <c r="H331" s="20"/>
      <c r="I331" s="892"/>
      <c r="J331" s="20">
        <v>4</v>
      </c>
      <c r="K331" s="892"/>
      <c r="L331" s="893"/>
      <c r="M331" s="942"/>
      <c r="N331" s="944"/>
      <c r="O331" s="938"/>
      <c r="P331" s="946"/>
      <c r="Q331" s="946"/>
    </row>
    <row r="332" spans="1:20" ht="14.25">
      <c r="C332" s="1"/>
      <c r="F332" s="2"/>
      <c r="H332" s="2"/>
      <c r="I332" s="1"/>
      <c r="J332" s="2"/>
      <c r="L332" t="s">
        <v>68</v>
      </c>
      <c r="N332" s="7"/>
      <c r="O332" s="1" t="s">
        <v>0</v>
      </c>
      <c r="P332" s="2">
        <f>P329-P330</f>
        <v>49.949655</v>
      </c>
      <c r="Q332" t="s">
        <v>7</v>
      </c>
    </row>
    <row r="333" spans="1:20" ht="14.25">
      <c r="C333" s="1"/>
      <c r="F333" s="2"/>
      <c r="I333" s="8"/>
      <c r="J333" s="886" t="s">
        <v>9</v>
      </c>
      <c r="K333" s="886"/>
      <c r="L333" s="891">
        <v>2334</v>
      </c>
      <c r="M333" s="891"/>
      <c r="N333" s="9" t="s">
        <v>10</v>
      </c>
      <c r="O333" s="10"/>
      <c r="P333" s="2"/>
      <c r="R333" s="29" t="s">
        <v>0</v>
      </c>
      <c r="S333" s="16" t="s">
        <v>11</v>
      </c>
      <c r="T333" s="11">
        <f>ROUND(P332*L333,0)</f>
        <v>116582</v>
      </c>
    </row>
    <row r="334" spans="1:20">
      <c r="C334" s="1"/>
      <c r="F334" s="2"/>
      <c r="I334" s="8"/>
      <c r="J334" s="8"/>
      <c r="K334" s="8"/>
      <c r="L334" s="17"/>
      <c r="M334" s="17"/>
      <c r="N334" s="9"/>
      <c r="O334" s="10"/>
      <c r="P334" s="2"/>
      <c r="S334" s="16"/>
      <c r="T334" s="11"/>
    </row>
    <row r="335" spans="1:20">
      <c r="C335" s="1"/>
      <c r="F335" s="2"/>
      <c r="I335" s="8"/>
      <c r="J335" s="8"/>
      <c r="K335" s="8"/>
      <c r="L335" s="17"/>
      <c r="M335" s="17"/>
      <c r="N335" s="9"/>
      <c r="O335" s="10"/>
      <c r="P335" s="2"/>
      <c r="S335" s="16"/>
      <c r="T335" s="11"/>
    </row>
    <row r="336" spans="1:20" ht="66.75" customHeight="1">
      <c r="A336" s="95" t="s">
        <v>286</v>
      </c>
      <c r="B336" s="936" t="s">
        <v>36</v>
      </c>
      <c r="C336" s="936"/>
      <c r="D336" s="936"/>
      <c r="E336" s="936"/>
      <c r="F336" s="936"/>
      <c r="G336" s="936"/>
      <c r="H336" s="936"/>
      <c r="I336" s="936"/>
      <c r="J336" s="936"/>
      <c r="K336" s="936"/>
      <c r="L336" s="936"/>
      <c r="M336" s="936"/>
      <c r="N336" s="936"/>
      <c r="O336" s="936"/>
      <c r="P336" s="936"/>
      <c r="Q336" s="936"/>
    </row>
    <row r="337" spans="1:20">
      <c r="A337" s="16" t="s">
        <v>64</v>
      </c>
      <c r="B337" t="s">
        <v>65</v>
      </c>
    </row>
    <row r="338" spans="1:20">
      <c r="E338" s="1" t="s">
        <v>0</v>
      </c>
      <c r="F338">
        <v>4</v>
      </c>
      <c r="G338" t="s">
        <v>1</v>
      </c>
      <c r="H338" s="31">
        <v>2.5</v>
      </c>
      <c r="I338" s="32" t="s">
        <v>0</v>
      </c>
      <c r="J338" s="31">
        <f>F338*H338</f>
        <v>10</v>
      </c>
      <c r="K338" s="13" t="s">
        <v>13</v>
      </c>
      <c r="L338" s="13"/>
    </row>
    <row r="339" spans="1:20">
      <c r="E339" s="1"/>
      <c r="H339" s="7" t="s">
        <v>8</v>
      </c>
      <c r="I339" s="29" t="s">
        <v>0</v>
      </c>
      <c r="J339" s="7">
        <f>SUM(J338:J338)</f>
        <v>10</v>
      </c>
      <c r="K339" t="s">
        <v>13</v>
      </c>
    </row>
    <row r="340" spans="1:20">
      <c r="I340" s="8"/>
      <c r="J340" s="886" t="s">
        <v>9</v>
      </c>
      <c r="K340" s="886"/>
      <c r="L340" s="888">
        <v>9264</v>
      </c>
      <c r="M340" s="888"/>
      <c r="N340" s="9" t="s">
        <v>18</v>
      </c>
      <c r="O340" s="10"/>
      <c r="P340" s="2"/>
      <c r="R340" s="29" t="s">
        <v>0</v>
      </c>
      <c r="S340" s="16" t="s">
        <v>11</v>
      </c>
      <c r="T340" s="11">
        <f>ROUND(J338*L340,0)</f>
        <v>92640</v>
      </c>
    </row>
    <row r="341" spans="1:20">
      <c r="C341" s="1"/>
      <c r="F341" s="2"/>
      <c r="I341" s="8"/>
      <c r="J341" s="8"/>
      <c r="K341" s="8"/>
      <c r="L341" s="17"/>
      <c r="M341" s="17"/>
      <c r="N341" s="9"/>
      <c r="O341" s="10"/>
      <c r="P341" s="2"/>
      <c r="S341" s="16"/>
      <c r="T341" s="11"/>
    </row>
    <row r="342" spans="1:20">
      <c r="C342" s="1"/>
      <c r="F342" s="2"/>
      <c r="I342" s="8"/>
      <c r="J342" s="8"/>
      <c r="K342" s="8"/>
      <c r="L342" s="17"/>
      <c r="M342" s="17"/>
      <c r="N342" s="9"/>
      <c r="O342" s="10"/>
      <c r="P342" s="2"/>
      <c r="S342" s="16"/>
      <c r="T342" s="11"/>
    </row>
    <row r="343" spans="1:20" ht="42" customHeight="1">
      <c r="A343" s="95" t="s">
        <v>287</v>
      </c>
      <c r="B343" s="936" t="s">
        <v>37</v>
      </c>
      <c r="C343" s="936"/>
      <c r="D343" s="936"/>
      <c r="E343" s="936"/>
      <c r="F343" s="936"/>
      <c r="G343" s="936"/>
      <c r="H343" s="936"/>
      <c r="I343" s="936"/>
      <c r="J343" s="936"/>
      <c r="K343" s="936"/>
      <c r="L343" s="936"/>
      <c r="M343" s="936"/>
      <c r="N343" s="936"/>
      <c r="O343" s="936"/>
      <c r="P343" s="936"/>
      <c r="Q343" s="936"/>
    </row>
    <row r="344" spans="1:20" ht="15.75" customHeight="1">
      <c r="A344" s="54"/>
      <c r="B344" s="926" t="s">
        <v>38</v>
      </c>
      <c r="C344" s="926"/>
      <c r="D344" s="926"/>
      <c r="E344" s="926"/>
      <c r="F344" s="926"/>
      <c r="G344" s="926"/>
      <c r="H344" s="926"/>
      <c r="I344" s="926"/>
      <c r="J344" s="926"/>
      <c r="K344" s="926"/>
      <c r="L344" s="926"/>
      <c r="M344" s="926"/>
      <c r="N344" s="926"/>
      <c r="O344" s="926"/>
      <c r="P344" s="926"/>
      <c r="Q344" s="926"/>
    </row>
    <row r="345" spans="1:20">
      <c r="A345" s="4"/>
    </row>
    <row r="346" spans="1:20">
      <c r="B346" s="932" t="s">
        <v>66</v>
      </c>
      <c r="C346" s="903" t="s">
        <v>0</v>
      </c>
      <c r="D346" s="892">
        <v>1</v>
      </c>
      <c r="E346" s="892" t="s">
        <v>1</v>
      </c>
      <c r="F346" s="893">
        <v>3</v>
      </c>
      <c r="G346" s="892" t="s">
        <v>1</v>
      </c>
      <c r="H346" s="31">
        <v>0.15</v>
      </c>
      <c r="I346" s="32" t="s">
        <v>14</v>
      </c>
      <c r="J346" s="31">
        <v>0.32</v>
      </c>
      <c r="K346" s="892" t="s">
        <v>1</v>
      </c>
      <c r="L346" s="893">
        <v>0.68</v>
      </c>
      <c r="M346" s="38"/>
      <c r="N346" s="40"/>
      <c r="O346" s="903" t="s">
        <v>0</v>
      </c>
      <c r="P346" s="896">
        <f>(L346*F346*D346*(H346+J346)/2)</f>
        <v>0.47939999999999999</v>
      </c>
      <c r="Q346" s="915" t="s">
        <v>7</v>
      </c>
    </row>
    <row r="347" spans="1:20">
      <c r="B347" s="933"/>
      <c r="C347" s="903"/>
      <c r="D347" s="892"/>
      <c r="E347" s="892"/>
      <c r="F347" s="893"/>
      <c r="G347" s="892"/>
      <c r="H347" s="7"/>
      <c r="I347" s="29">
        <v>2</v>
      </c>
      <c r="J347" s="7"/>
      <c r="K347" s="892"/>
      <c r="L347" s="893"/>
      <c r="M347" s="38"/>
      <c r="N347" s="38"/>
      <c r="O347" s="903"/>
      <c r="P347" s="896"/>
      <c r="Q347" s="915"/>
    </row>
    <row r="348" spans="1:20" ht="14.25">
      <c r="B348" s="41"/>
      <c r="C348" s="29" t="s">
        <v>0</v>
      </c>
      <c r="D348" s="20">
        <v>1</v>
      </c>
      <c r="E348" s="20" t="s">
        <v>1</v>
      </c>
      <c r="F348" s="7">
        <v>3</v>
      </c>
      <c r="G348" s="20" t="s">
        <v>1</v>
      </c>
      <c r="H348" s="7">
        <v>0.6</v>
      </c>
      <c r="I348" s="20" t="s">
        <v>1</v>
      </c>
      <c r="J348" s="44">
        <v>2.125</v>
      </c>
      <c r="K348" s="20"/>
      <c r="L348" s="20"/>
      <c r="M348" s="20"/>
      <c r="N348" s="20"/>
      <c r="O348" s="1" t="s">
        <v>0</v>
      </c>
      <c r="P348" s="2">
        <f>D348*F348*H348*J348</f>
        <v>3.8249999999999997</v>
      </c>
      <c r="Q348" t="s">
        <v>7</v>
      </c>
    </row>
    <row r="349" spans="1:20">
      <c r="B349" s="5"/>
    </row>
    <row r="350" spans="1:20">
      <c r="B350" s="932" t="s">
        <v>67</v>
      </c>
      <c r="C350" s="903" t="s">
        <v>0</v>
      </c>
      <c r="D350" s="892">
        <v>1</v>
      </c>
      <c r="E350" s="892" t="s">
        <v>1</v>
      </c>
      <c r="F350" s="893">
        <v>6</v>
      </c>
      <c r="G350" s="892" t="s">
        <v>1</v>
      </c>
      <c r="H350" s="31">
        <v>0.15</v>
      </c>
      <c r="I350" s="32" t="s">
        <v>14</v>
      </c>
      <c r="J350" s="31">
        <v>0.75</v>
      </c>
      <c r="K350" s="892" t="s">
        <v>1</v>
      </c>
      <c r="L350" s="893">
        <v>2.37</v>
      </c>
      <c r="M350" s="39"/>
      <c r="N350" s="37"/>
      <c r="O350" s="937" t="s">
        <v>0</v>
      </c>
      <c r="P350" s="939">
        <f>(L350*F350*D350*(H350+J350)/2)</f>
        <v>6.399</v>
      </c>
      <c r="Q350" s="934" t="s">
        <v>7</v>
      </c>
      <c r="R350" s="18"/>
    </row>
    <row r="351" spans="1:20">
      <c r="B351" s="933"/>
      <c r="C351" s="903"/>
      <c r="D351" s="892"/>
      <c r="E351" s="892"/>
      <c r="F351" s="893"/>
      <c r="G351" s="892"/>
      <c r="H351" s="7"/>
      <c r="I351" s="29">
        <v>2</v>
      </c>
      <c r="J351" s="7"/>
      <c r="K351" s="892"/>
      <c r="L351" s="893"/>
      <c r="M351" s="39"/>
      <c r="N351" s="39"/>
      <c r="O351" s="937"/>
      <c r="P351" s="939"/>
      <c r="Q351" s="934"/>
      <c r="R351" s="18"/>
      <c r="T351" s="11"/>
    </row>
    <row r="352" spans="1:20" ht="14.25">
      <c r="B352" s="41"/>
      <c r="C352" s="29" t="s">
        <v>0</v>
      </c>
      <c r="D352" s="20">
        <v>1</v>
      </c>
      <c r="E352" s="20" t="s">
        <v>1</v>
      </c>
      <c r="F352" s="7">
        <v>6</v>
      </c>
      <c r="G352" s="20" t="s">
        <v>1</v>
      </c>
      <c r="H352" s="7">
        <v>0.6</v>
      </c>
      <c r="I352" s="20" t="s">
        <v>1</v>
      </c>
      <c r="J352" s="44">
        <v>2.125</v>
      </c>
      <c r="K352" s="20"/>
      <c r="L352" s="30"/>
      <c r="M352" s="30"/>
      <c r="N352" s="31"/>
      <c r="O352" s="14" t="s">
        <v>0</v>
      </c>
      <c r="P352" s="12">
        <f>D352*F352*H352*J352</f>
        <v>7.6499999999999995</v>
      </c>
      <c r="Q352" s="13" t="s">
        <v>7</v>
      </c>
      <c r="T352" s="11"/>
    </row>
    <row r="353" spans="2:20" ht="14.25">
      <c r="B353" s="41"/>
      <c r="C353" s="29"/>
      <c r="D353" s="20"/>
      <c r="E353" s="20"/>
      <c r="F353" s="7"/>
      <c r="G353" s="20"/>
      <c r="H353" s="7"/>
      <c r="I353" s="20"/>
      <c r="J353" s="44"/>
      <c r="K353" s="20" t="s">
        <v>75</v>
      </c>
      <c r="L353" s="888" t="s">
        <v>76</v>
      </c>
      <c r="M353" s="888"/>
      <c r="N353" s="888"/>
      <c r="O353" s="1" t="s">
        <v>0</v>
      </c>
      <c r="P353" s="12">
        <f>SUM(P346:P352)</f>
        <v>18.353399999999997</v>
      </c>
      <c r="Q353" s="13" t="s">
        <v>7</v>
      </c>
      <c r="R353" s="13"/>
      <c r="S353" s="13"/>
      <c r="T353" s="27"/>
    </row>
    <row r="354" spans="2:20">
      <c r="B354" s="41"/>
      <c r="C354" s="29"/>
      <c r="D354" s="20"/>
      <c r="E354" s="20"/>
      <c r="F354" s="7"/>
      <c r="G354" s="20"/>
      <c r="H354" s="7"/>
      <c r="I354" s="20"/>
      <c r="J354" s="44"/>
      <c r="K354" s="20"/>
      <c r="L354" s="20"/>
      <c r="M354" s="20"/>
      <c r="N354" s="7"/>
      <c r="O354" s="10"/>
      <c r="P354" s="894" t="s">
        <v>24</v>
      </c>
      <c r="Q354" s="894"/>
      <c r="R354" s="50" t="s">
        <v>0</v>
      </c>
      <c r="S354" s="49" t="s">
        <v>11</v>
      </c>
      <c r="T354" s="26">
        <f>SUM(T314:T353)</f>
        <v>227708</v>
      </c>
    </row>
    <row r="355" spans="2:20">
      <c r="B355" s="41"/>
      <c r="C355" s="29"/>
      <c r="D355" s="20"/>
      <c r="E355" s="20"/>
      <c r="F355" s="7"/>
      <c r="G355" s="20"/>
      <c r="H355" s="7"/>
      <c r="I355" s="20"/>
      <c r="J355" s="44"/>
      <c r="K355" s="20"/>
      <c r="L355" s="20"/>
      <c r="M355" s="20"/>
      <c r="N355" s="7"/>
      <c r="O355" s="10"/>
      <c r="P355" s="58"/>
      <c r="Q355" s="58"/>
      <c r="R355" s="50"/>
      <c r="S355" s="49"/>
      <c r="T355" s="26"/>
    </row>
    <row r="356" spans="2:20">
      <c r="B356" s="41"/>
      <c r="C356" s="29"/>
      <c r="D356" s="20"/>
      <c r="E356" s="20"/>
      <c r="F356" s="7"/>
      <c r="G356" s="20"/>
      <c r="H356" s="7"/>
      <c r="I356" s="20"/>
      <c r="J356" s="44"/>
      <c r="K356" s="20"/>
      <c r="L356" s="20"/>
      <c r="M356" s="20"/>
      <c r="N356" s="7"/>
      <c r="O356" s="10"/>
      <c r="P356" s="58"/>
      <c r="Q356" s="58"/>
      <c r="R356" s="50"/>
      <c r="S356" s="49"/>
      <c r="T356" s="26"/>
    </row>
    <row r="357" spans="2:20">
      <c r="B357" s="41"/>
      <c r="C357" s="29"/>
      <c r="D357" s="20"/>
      <c r="E357" s="20"/>
      <c r="F357" s="7"/>
      <c r="G357" s="20"/>
      <c r="H357" s="7"/>
      <c r="I357" s="20"/>
      <c r="J357" s="44"/>
      <c r="K357" s="20"/>
      <c r="L357" s="20"/>
      <c r="M357" s="20"/>
      <c r="N357" s="7"/>
      <c r="O357" s="10"/>
      <c r="P357" s="58"/>
      <c r="Q357" s="58"/>
      <c r="R357" s="50"/>
      <c r="S357" s="49"/>
      <c r="T357" s="26"/>
    </row>
    <row r="358" spans="2:20">
      <c r="B358" s="41"/>
      <c r="C358" s="29"/>
      <c r="D358" s="20"/>
      <c r="E358" s="20"/>
      <c r="F358" s="7"/>
      <c r="G358" s="20"/>
      <c r="H358" s="7"/>
      <c r="I358" s="20"/>
      <c r="J358" s="44"/>
      <c r="K358" s="20"/>
      <c r="L358" s="20"/>
      <c r="M358" s="20"/>
      <c r="N358" s="7"/>
      <c r="O358" s="10"/>
      <c r="P358" s="58"/>
      <c r="Q358" s="58"/>
      <c r="R358" s="50"/>
      <c r="S358" s="49"/>
      <c r="T358" s="26"/>
    </row>
    <row r="359" spans="2:20">
      <c r="B359" s="41"/>
      <c r="C359" s="29"/>
      <c r="D359" s="20"/>
      <c r="E359" s="20"/>
      <c r="F359" s="7"/>
      <c r="G359" s="20"/>
      <c r="H359" s="7"/>
      <c r="I359" s="20"/>
      <c r="J359" s="44"/>
      <c r="K359" s="20"/>
      <c r="L359" s="20"/>
      <c r="M359" s="20"/>
      <c r="N359" s="7"/>
      <c r="O359" s="10"/>
      <c r="P359" s="58"/>
      <c r="Q359" s="58"/>
      <c r="R359" s="50"/>
      <c r="S359" s="49"/>
      <c r="T359" s="26"/>
    </row>
    <row r="360" spans="2:20">
      <c r="B360" s="41"/>
      <c r="C360" s="29"/>
      <c r="D360" s="20"/>
      <c r="E360" s="20"/>
      <c r="F360" s="7"/>
      <c r="G360" s="20"/>
      <c r="H360" s="7"/>
      <c r="I360" s="20"/>
      <c r="J360" s="44"/>
      <c r="K360" s="20"/>
      <c r="L360" s="20"/>
      <c r="M360" s="20"/>
      <c r="N360" s="7"/>
      <c r="O360" s="10"/>
      <c r="P360" s="895" t="s">
        <v>25</v>
      </c>
      <c r="Q360" s="895"/>
      <c r="R360" s="50" t="s">
        <v>0</v>
      </c>
      <c r="S360" s="49" t="s">
        <v>11</v>
      </c>
      <c r="T360" s="26">
        <f>$T$354</f>
        <v>227708</v>
      </c>
    </row>
    <row r="361" spans="2:20">
      <c r="B361" s="41"/>
      <c r="C361" s="29"/>
      <c r="D361" s="20"/>
      <c r="E361" s="20"/>
      <c r="F361" s="7"/>
      <c r="G361" s="20"/>
      <c r="H361" s="7"/>
      <c r="I361" s="20"/>
      <c r="J361" s="44"/>
      <c r="K361" s="20"/>
      <c r="L361" s="20"/>
      <c r="M361" s="20"/>
      <c r="N361" s="7"/>
      <c r="O361" s="10"/>
      <c r="P361" s="49"/>
      <c r="Q361" s="49"/>
      <c r="R361" s="50"/>
      <c r="S361" s="49"/>
      <c r="T361" s="26"/>
    </row>
    <row r="362" spans="2:20" ht="14.25">
      <c r="B362" s="41"/>
      <c r="C362" s="29"/>
      <c r="D362" s="20"/>
      <c r="E362" s="20"/>
      <c r="F362" s="7"/>
      <c r="G362" s="20"/>
      <c r="H362" s="7"/>
      <c r="I362" s="20"/>
      <c r="J362" s="44"/>
      <c r="K362" s="20"/>
      <c r="L362" s="888" t="s">
        <v>77</v>
      </c>
      <c r="M362" s="888"/>
      <c r="N362" s="888"/>
      <c r="O362" s="1" t="s">
        <v>0</v>
      </c>
      <c r="P362" s="68">
        <f>$P$353</f>
        <v>18.353399999999997</v>
      </c>
      <c r="Q362" t="s">
        <v>7</v>
      </c>
      <c r="R362" s="50"/>
      <c r="S362" s="49"/>
      <c r="T362" s="26"/>
    </row>
    <row r="363" spans="2:20">
      <c r="B363" s="898" t="s">
        <v>48</v>
      </c>
      <c r="C363" s="898"/>
      <c r="D363" s="898"/>
      <c r="E363" s="898"/>
      <c r="F363" s="898"/>
      <c r="G363" s="898"/>
      <c r="H363" s="898"/>
      <c r="I363" s="20"/>
      <c r="J363" s="44"/>
      <c r="K363" s="20"/>
      <c r="L363" s="20"/>
      <c r="M363" s="20"/>
      <c r="N363" s="7"/>
      <c r="O363" s="1"/>
      <c r="P363" s="2"/>
      <c r="T363" s="11"/>
    </row>
    <row r="364" spans="2:20">
      <c r="B364" s="41"/>
      <c r="C364" s="903" t="s">
        <v>0</v>
      </c>
      <c r="D364" s="892">
        <v>2</v>
      </c>
      <c r="E364" s="892" t="s">
        <v>1</v>
      </c>
      <c r="F364" s="31">
        <v>3.14</v>
      </c>
      <c r="G364" s="892" t="s">
        <v>1</v>
      </c>
      <c r="H364" s="893">
        <v>1.2</v>
      </c>
      <c r="I364" s="892" t="s">
        <v>1</v>
      </c>
      <c r="J364" s="893">
        <v>1.2</v>
      </c>
      <c r="K364" s="892" t="s">
        <v>1</v>
      </c>
      <c r="L364" s="893">
        <v>0.6</v>
      </c>
      <c r="M364" s="33"/>
      <c r="N364" s="34"/>
      <c r="O364" s="937" t="s">
        <v>0</v>
      </c>
      <c r="P364" s="939">
        <f>ROUND((L364*J364*H364*D364)*(F364)/4,2)</f>
        <v>1.36</v>
      </c>
      <c r="Q364" s="934" t="s">
        <v>7</v>
      </c>
      <c r="T364" s="11"/>
    </row>
    <row r="365" spans="2:20">
      <c r="B365" s="41"/>
      <c r="C365" s="903"/>
      <c r="D365" s="892"/>
      <c r="E365" s="892"/>
      <c r="F365" s="36">
        <v>4</v>
      </c>
      <c r="G365" s="892"/>
      <c r="H365" s="893"/>
      <c r="I365" s="892"/>
      <c r="J365" s="893"/>
      <c r="K365" s="892"/>
      <c r="L365" s="893"/>
      <c r="M365" s="30"/>
      <c r="N365" s="31"/>
      <c r="O365" s="938"/>
      <c r="P365" s="940"/>
      <c r="Q365" s="935"/>
      <c r="T365" s="11"/>
    </row>
    <row r="366" spans="2:20" ht="14.25">
      <c r="L366" t="s">
        <v>49</v>
      </c>
      <c r="N366" s="7"/>
      <c r="O366" s="1" t="s">
        <v>0</v>
      </c>
      <c r="P366" s="2">
        <f>P353-P364</f>
        <v>16.993399999999998</v>
      </c>
      <c r="Q366" t="s">
        <v>7</v>
      </c>
    </row>
    <row r="367" spans="2:20" ht="14.25">
      <c r="I367" s="8"/>
      <c r="J367" s="886" t="s">
        <v>9</v>
      </c>
      <c r="K367" s="886"/>
      <c r="L367" s="891">
        <v>358</v>
      </c>
      <c r="M367" s="891"/>
      <c r="N367" s="9" t="s">
        <v>10</v>
      </c>
      <c r="O367" s="10"/>
      <c r="P367" s="2"/>
      <c r="R367" s="29" t="s">
        <v>0</v>
      </c>
      <c r="S367" s="16" t="s">
        <v>11</v>
      </c>
      <c r="T367" s="11">
        <f>ROUND(P366*L367,0)</f>
        <v>6084</v>
      </c>
    </row>
    <row r="368" spans="2:20">
      <c r="H368" s="8"/>
      <c r="I368" s="8"/>
      <c r="J368" s="17"/>
      <c r="K368" s="17"/>
      <c r="L368" s="17"/>
      <c r="M368" s="17"/>
      <c r="N368" s="9"/>
    </row>
    <row r="369" spans="1:20">
      <c r="H369" s="8"/>
      <c r="I369" s="8"/>
      <c r="J369" s="17"/>
      <c r="K369" s="17"/>
      <c r="L369" s="17"/>
      <c r="M369" s="17"/>
      <c r="N369" s="9"/>
      <c r="O369" s="10"/>
      <c r="R369" s="20"/>
      <c r="T369" s="11"/>
    </row>
    <row r="370" spans="1:20">
      <c r="P370" s="49"/>
      <c r="Q370" s="49"/>
      <c r="R370" s="50"/>
      <c r="S370" s="49"/>
      <c r="T370" s="28"/>
    </row>
    <row r="371" spans="1:20" ht="40.5" customHeight="1">
      <c r="A371" s="95" t="s">
        <v>328</v>
      </c>
      <c r="B371" s="936" t="s">
        <v>39</v>
      </c>
      <c r="C371" s="936"/>
      <c r="D371" s="936"/>
      <c r="E371" s="936"/>
      <c r="F371" s="936"/>
      <c r="G371" s="936"/>
      <c r="H371" s="936"/>
      <c r="I371" s="936"/>
      <c r="J371" s="936"/>
      <c r="K371" s="936"/>
      <c r="L371" s="936"/>
      <c r="M371" s="936"/>
      <c r="N371" s="936"/>
      <c r="O371" s="936"/>
      <c r="P371" s="936"/>
      <c r="Q371" s="936"/>
    </row>
    <row r="372" spans="1:20">
      <c r="B372" s="932" t="s">
        <v>66</v>
      </c>
      <c r="C372" s="903" t="s">
        <v>0</v>
      </c>
      <c r="D372" s="892">
        <v>2</v>
      </c>
      <c r="E372" s="892" t="s">
        <v>1</v>
      </c>
      <c r="F372" s="893">
        <v>1.2</v>
      </c>
      <c r="G372" s="892" t="s">
        <v>1</v>
      </c>
      <c r="H372" s="31">
        <v>0</v>
      </c>
      <c r="I372" s="32" t="s">
        <v>14</v>
      </c>
      <c r="J372" s="31">
        <v>0.25</v>
      </c>
      <c r="K372" s="892" t="s">
        <v>1</v>
      </c>
      <c r="L372" s="902">
        <v>2.125</v>
      </c>
      <c r="M372" s="38"/>
      <c r="N372" s="40"/>
      <c r="O372" s="903" t="s">
        <v>0</v>
      </c>
      <c r="P372" s="896">
        <f>(L372*F372*D372*(H372+J372)/2)</f>
        <v>0.63749999999999996</v>
      </c>
      <c r="Q372" s="915" t="s">
        <v>7</v>
      </c>
    </row>
    <row r="373" spans="1:20">
      <c r="B373" s="933"/>
      <c r="C373" s="903"/>
      <c r="D373" s="892"/>
      <c r="E373" s="892"/>
      <c r="F373" s="893"/>
      <c r="G373" s="892"/>
      <c r="H373" s="7"/>
      <c r="I373" s="29">
        <v>2</v>
      </c>
      <c r="J373" s="7"/>
      <c r="K373" s="892"/>
      <c r="L373" s="902"/>
      <c r="M373" s="38"/>
      <c r="N373" s="38"/>
      <c r="O373" s="903"/>
      <c r="P373" s="896"/>
      <c r="Q373" s="915"/>
    </row>
    <row r="374" spans="1:20">
      <c r="B374" s="932" t="s">
        <v>67</v>
      </c>
      <c r="C374" s="903" t="s">
        <v>0</v>
      </c>
      <c r="D374" s="892">
        <v>2</v>
      </c>
      <c r="E374" s="892" t="s">
        <v>1</v>
      </c>
      <c r="F374" s="893">
        <v>2.1</v>
      </c>
      <c r="G374" s="892" t="s">
        <v>1</v>
      </c>
      <c r="H374" s="31">
        <v>0.15</v>
      </c>
      <c r="I374" s="32" t="s">
        <v>14</v>
      </c>
      <c r="J374" s="31">
        <v>0.53</v>
      </c>
      <c r="K374" s="892" t="s">
        <v>1</v>
      </c>
      <c r="L374" s="902">
        <v>2.125</v>
      </c>
      <c r="M374" s="38"/>
      <c r="N374" s="40"/>
      <c r="O374" s="903" t="s">
        <v>0</v>
      </c>
      <c r="P374" s="896">
        <f>(L374*F374*D374*(H374+J374)/2)</f>
        <v>3.0345000000000004</v>
      </c>
      <c r="Q374" s="915" t="s">
        <v>7</v>
      </c>
    </row>
    <row r="375" spans="1:20">
      <c r="B375" s="933"/>
      <c r="C375" s="903"/>
      <c r="D375" s="892"/>
      <c r="E375" s="892"/>
      <c r="F375" s="893"/>
      <c r="G375" s="892"/>
      <c r="H375" s="7"/>
      <c r="I375" s="29">
        <v>2</v>
      </c>
      <c r="J375" s="7"/>
      <c r="K375" s="892"/>
      <c r="L375" s="902"/>
      <c r="M375" s="38"/>
      <c r="N375" s="38"/>
      <c r="O375" s="903"/>
      <c r="P375" s="896"/>
      <c r="Q375" s="915"/>
    </row>
    <row r="376" spans="1:20" ht="14.25">
      <c r="B376" s="899" t="s">
        <v>27</v>
      </c>
      <c r="C376" s="900" t="s">
        <v>0</v>
      </c>
      <c r="D376" s="901">
        <v>1</v>
      </c>
      <c r="E376" s="901" t="s">
        <v>1</v>
      </c>
      <c r="F376" s="147">
        <v>7.3</v>
      </c>
      <c r="G376" s="148" t="s">
        <v>14</v>
      </c>
      <c r="H376" s="147">
        <v>7.6</v>
      </c>
      <c r="I376" s="901" t="s">
        <v>1</v>
      </c>
      <c r="J376" s="916">
        <v>1.8</v>
      </c>
      <c r="K376" s="901" t="s">
        <v>1</v>
      </c>
      <c r="L376" s="916">
        <v>0.6</v>
      </c>
      <c r="M376" s="33"/>
      <c r="N376" s="34"/>
      <c r="O376" s="35" t="s">
        <v>0</v>
      </c>
      <c r="P376" s="19">
        <f>ROUND((L376*J376*D376)*(F376+H376)/2,2)</f>
        <v>8.0500000000000007</v>
      </c>
      <c r="Q376" s="18" t="s">
        <v>7</v>
      </c>
    </row>
    <row r="377" spans="1:20">
      <c r="B377" s="899"/>
      <c r="C377" s="900"/>
      <c r="D377" s="901"/>
      <c r="E377" s="901"/>
      <c r="F377" s="149"/>
      <c r="G377" s="150">
        <v>2</v>
      </c>
      <c r="H377" s="149"/>
      <c r="I377" s="901"/>
      <c r="J377" s="916"/>
      <c r="K377" s="901"/>
      <c r="L377" s="916"/>
      <c r="M377" s="30"/>
      <c r="N377" s="31"/>
      <c r="O377" s="32"/>
      <c r="P377" s="12"/>
      <c r="Q377" s="13"/>
    </row>
    <row r="378" spans="1:20" ht="14.25">
      <c r="D378" s="15"/>
      <c r="E378" s="15"/>
      <c r="F378" s="15"/>
      <c r="G378" s="15"/>
      <c r="K378" s="15"/>
      <c r="L378" s="15"/>
      <c r="M378" s="15"/>
      <c r="N378" s="7" t="s">
        <v>8</v>
      </c>
      <c r="O378" s="1" t="s">
        <v>0</v>
      </c>
      <c r="P378" s="2">
        <f>SUM(P372:P376)</f>
        <v>11.722000000000001</v>
      </c>
      <c r="Q378" t="s">
        <v>7</v>
      </c>
    </row>
    <row r="379" spans="1:20" ht="14.25">
      <c r="I379" s="8"/>
      <c r="J379" s="886" t="s">
        <v>9</v>
      </c>
      <c r="K379" s="886"/>
      <c r="L379" s="891">
        <v>116</v>
      </c>
      <c r="M379" s="891"/>
      <c r="N379" s="9" t="s">
        <v>10</v>
      </c>
      <c r="O379" s="10"/>
      <c r="P379" s="2"/>
      <c r="R379" s="29" t="s">
        <v>0</v>
      </c>
      <c r="S379" s="16" t="s">
        <v>11</v>
      </c>
      <c r="T379" s="11">
        <f>ROUND(P378*L379,0)</f>
        <v>1360</v>
      </c>
    </row>
    <row r="380" spans="1:20">
      <c r="H380" s="8"/>
      <c r="I380" s="8"/>
      <c r="J380" s="17"/>
      <c r="K380" s="17"/>
      <c r="L380" s="17"/>
      <c r="M380" s="17"/>
      <c r="N380" s="9"/>
      <c r="O380" s="10"/>
      <c r="P380" s="2"/>
    </row>
    <row r="381" spans="1:20">
      <c r="H381" s="8"/>
      <c r="I381" s="8"/>
      <c r="J381" s="17"/>
      <c r="K381" s="17"/>
      <c r="L381" s="17"/>
      <c r="M381" s="17"/>
      <c r="N381" s="9"/>
      <c r="O381" s="10"/>
      <c r="P381" s="2"/>
    </row>
    <row r="382" spans="1:20">
      <c r="H382" s="8"/>
      <c r="I382" s="8"/>
      <c r="J382" s="17"/>
      <c r="K382" s="17"/>
      <c r="L382" s="17"/>
      <c r="M382" s="17"/>
      <c r="N382" s="9"/>
      <c r="O382" s="10"/>
      <c r="P382" s="3"/>
      <c r="Q382" s="3"/>
      <c r="R382" s="3"/>
      <c r="S382" s="3"/>
      <c r="T382" s="26"/>
    </row>
    <row r="383" spans="1:20" ht="38.25">
      <c r="A383" s="95" t="s">
        <v>289</v>
      </c>
      <c r="B383" s="926" t="s">
        <v>40</v>
      </c>
      <c r="C383" s="926"/>
      <c r="D383" s="926"/>
      <c r="E383" s="926"/>
      <c r="F383" s="926"/>
      <c r="G383" s="926"/>
      <c r="H383" s="926"/>
      <c r="I383" s="926"/>
      <c r="J383" s="926"/>
      <c r="K383" s="926"/>
      <c r="L383" s="926"/>
      <c r="M383" s="926"/>
      <c r="N383" s="926"/>
      <c r="O383" s="926"/>
      <c r="P383" s="926"/>
      <c r="Q383" s="926"/>
    </row>
    <row r="384" spans="1:20" ht="14.25">
      <c r="B384" s="6" t="s">
        <v>28</v>
      </c>
      <c r="C384" s="29" t="s">
        <v>0</v>
      </c>
      <c r="D384" s="20"/>
      <c r="E384" s="20"/>
      <c r="F384" s="36">
        <v>1</v>
      </c>
      <c r="G384" s="20" t="s">
        <v>1</v>
      </c>
      <c r="H384" s="7">
        <v>2.1</v>
      </c>
      <c r="I384" s="20" t="s">
        <v>1</v>
      </c>
      <c r="J384" s="7">
        <v>0.45</v>
      </c>
      <c r="K384" s="20"/>
      <c r="L384" s="20"/>
      <c r="M384" s="20"/>
      <c r="N384" s="7"/>
      <c r="O384" s="29" t="s">
        <v>0</v>
      </c>
      <c r="P384" s="2">
        <f>F384*H384*J384</f>
        <v>0.94500000000000006</v>
      </c>
      <c r="Q384" t="s">
        <v>16</v>
      </c>
    </row>
    <row r="385" spans="2:20" ht="14.25">
      <c r="B385" s="6"/>
      <c r="C385" s="29" t="s">
        <v>0</v>
      </c>
      <c r="D385" s="20"/>
      <c r="E385" s="20"/>
      <c r="F385" s="36">
        <v>2</v>
      </c>
      <c r="G385" s="20" t="s">
        <v>1</v>
      </c>
      <c r="H385" s="7">
        <v>1.2</v>
      </c>
      <c r="I385" s="20" t="s">
        <v>1</v>
      </c>
      <c r="J385" s="7">
        <v>0.45</v>
      </c>
      <c r="K385" s="20"/>
      <c r="L385" s="20"/>
      <c r="M385" s="20"/>
      <c r="N385" s="7"/>
      <c r="O385" s="29" t="s">
        <v>0</v>
      </c>
      <c r="P385" s="2">
        <f>F385*H385*J385</f>
        <v>1.08</v>
      </c>
      <c r="Q385" t="s">
        <v>16</v>
      </c>
    </row>
    <row r="386" spans="2:20" ht="14.25">
      <c r="B386" t="s">
        <v>50</v>
      </c>
      <c r="C386" s="29" t="s">
        <v>0</v>
      </c>
      <c r="D386" s="20"/>
      <c r="E386" s="20"/>
      <c r="F386" s="20">
        <v>3</v>
      </c>
      <c r="G386" s="20" t="s">
        <v>1</v>
      </c>
      <c r="H386" s="7">
        <v>1.2</v>
      </c>
      <c r="I386" s="20" t="s">
        <v>1</v>
      </c>
      <c r="J386" s="7">
        <v>1.45</v>
      </c>
      <c r="K386" s="20"/>
      <c r="L386" s="20"/>
      <c r="M386" s="20"/>
      <c r="N386" s="20"/>
      <c r="O386" s="29" t="s">
        <v>0</v>
      </c>
      <c r="P386" s="2">
        <f>F386*H386*J386</f>
        <v>5.22</v>
      </c>
      <c r="Q386" t="s">
        <v>16</v>
      </c>
    </row>
    <row r="387" spans="2:20" ht="14.25">
      <c r="B387" t="s">
        <v>51</v>
      </c>
      <c r="C387" s="29" t="s">
        <v>0</v>
      </c>
      <c r="D387" s="20"/>
      <c r="E387" s="20"/>
      <c r="F387" s="20">
        <v>1</v>
      </c>
      <c r="G387" s="20" t="s">
        <v>1</v>
      </c>
      <c r="H387" s="7">
        <v>1.2</v>
      </c>
      <c r="I387" s="20" t="s">
        <v>1</v>
      </c>
      <c r="J387" s="7">
        <v>1.4</v>
      </c>
      <c r="K387" s="20"/>
      <c r="L387" s="20"/>
      <c r="M387" s="20"/>
      <c r="N387" s="20"/>
      <c r="O387" s="29" t="s">
        <v>0</v>
      </c>
      <c r="P387">
        <f>F387*H387*J387</f>
        <v>1.68</v>
      </c>
      <c r="Q387" t="s">
        <v>16</v>
      </c>
    </row>
    <row r="388" spans="2:20" ht="14.25">
      <c r="B388" s="5" t="s">
        <v>15</v>
      </c>
      <c r="C388" s="29" t="s">
        <v>0</v>
      </c>
      <c r="D388" s="20"/>
      <c r="E388" s="20"/>
      <c r="F388" s="20">
        <v>1</v>
      </c>
      <c r="G388" s="20" t="s">
        <v>1</v>
      </c>
      <c r="H388" s="7">
        <v>3</v>
      </c>
      <c r="I388" s="20" t="s">
        <v>1</v>
      </c>
      <c r="J388" s="7">
        <v>1.8</v>
      </c>
      <c r="K388" s="20"/>
      <c r="L388" s="20"/>
      <c r="M388" s="20"/>
      <c r="N388" s="20"/>
      <c r="O388" s="29" t="s">
        <v>0</v>
      </c>
      <c r="P388">
        <f>F388*H388*J388</f>
        <v>5.4</v>
      </c>
      <c r="Q388" t="s">
        <v>16</v>
      </c>
    </row>
    <row r="389" spans="2:20" ht="14.25">
      <c r="C389" s="29" t="s">
        <v>0</v>
      </c>
      <c r="D389" s="20">
        <v>1</v>
      </c>
      <c r="E389" s="20" t="s">
        <v>1</v>
      </c>
      <c r="F389" s="20">
        <v>2</v>
      </c>
      <c r="G389" s="20" t="s">
        <v>1</v>
      </c>
      <c r="H389" s="7">
        <v>0.6</v>
      </c>
      <c r="I389" s="20" t="s">
        <v>1</v>
      </c>
      <c r="J389" s="7">
        <v>0.6</v>
      </c>
      <c r="K389" s="20"/>
      <c r="L389" s="20"/>
      <c r="M389" s="20"/>
      <c r="N389" s="20"/>
      <c r="O389" s="29" t="s">
        <v>0</v>
      </c>
      <c r="P389">
        <f>D389*F389*H389*J389</f>
        <v>0.72</v>
      </c>
      <c r="Q389" t="s">
        <v>16</v>
      </c>
    </row>
    <row r="390" spans="2:20" ht="14.25">
      <c r="C390" s="29" t="s">
        <v>0</v>
      </c>
      <c r="D390" s="20"/>
      <c r="E390" s="20"/>
      <c r="F390" s="20">
        <v>2</v>
      </c>
      <c r="G390" s="20" t="s">
        <v>1</v>
      </c>
      <c r="H390" s="7">
        <v>2.5</v>
      </c>
      <c r="I390" s="20" t="s">
        <v>1</v>
      </c>
      <c r="J390" s="7">
        <v>1.8</v>
      </c>
      <c r="K390" s="20"/>
      <c r="L390" s="20"/>
      <c r="M390" s="20"/>
      <c r="N390" s="20"/>
      <c r="O390" s="29" t="s">
        <v>0</v>
      </c>
      <c r="P390">
        <f>F390*H390*J390</f>
        <v>9</v>
      </c>
      <c r="Q390" t="s">
        <v>16</v>
      </c>
    </row>
    <row r="391" spans="2:20" ht="14.25">
      <c r="C391" s="29" t="s">
        <v>0</v>
      </c>
      <c r="D391" s="20">
        <v>2</v>
      </c>
      <c r="E391" s="20" t="s">
        <v>1</v>
      </c>
      <c r="F391" s="20">
        <v>2</v>
      </c>
      <c r="G391" s="20" t="s">
        <v>1</v>
      </c>
      <c r="H391" s="7">
        <v>0.6</v>
      </c>
      <c r="I391" s="20" t="s">
        <v>1</v>
      </c>
      <c r="J391" s="7">
        <v>0.6</v>
      </c>
      <c r="K391" s="20"/>
      <c r="L391" s="20"/>
      <c r="M391" s="20"/>
      <c r="N391" s="20"/>
      <c r="O391" s="29" t="s">
        <v>0</v>
      </c>
      <c r="P391">
        <f>D391*F391*H391*J391</f>
        <v>1.44</v>
      </c>
      <c r="Q391" t="s">
        <v>16</v>
      </c>
    </row>
    <row r="392" spans="2:20" ht="14.25">
      <c r="B392" t="s">
        <v>6</v>
      </c>
      <c r="C392" s="29" t="s">
        <v>0</v>
      </c>
      <c r="D392" s="20"/>
      <c r="E392" s="20"/>
      <c r="F392" s="20">
        <v>1</v>
      </c>
      <c r="G392" s="20" t="s">
        <v>1</v>
      </c>
      <c r="H392" s="7">
        <v>3</v>
      </c>
      <c r="I392" s="20" t="s">
        <v>1</v>
      </c>
      <c r="J392" s="7">
        <v>0.75</v>
      </c>
      <c r="K392" s="20"/>
      <c r="L392" s="20"/>
      <c r="M392" s="20"/>
      <c r="N392" s="20"/>
      <c r="O392" s="29" t="s">
        <v>0</v>
      </c>
      <c r="P392" s="2">
        <f t="shared" ref="P392:P398" si="1">F392*H392*J392</f>
        <v>2.25</v>
      </c>
      <c r="Q392" t="s">
        <v>16</v>
      </c>
    </row>
    <row r="393" spans="2:20" ht="14.25">
      <c r="C393" s="29" t="s">
        <v>0</v>
      </c>
      <c r="D393" s="20"/>
      <c r="E393" s="20"/>
      <c r="F393" s="20">
        <v>1</v>
      </c>
      <c r="G393" s="20" t="s">
        <v>1</v>
      </c>
      <c r="H393" s="7">
        <v>3.6</v>
      </c>
      <c r="I393" s="20" t="s">
        <v>1</v>
      </c>
      <c r="J393" s="7">
        <v>0.45</v>
      </c>
      <c r="K393" s="20"/>
      <c r="L393" s="20"/>
      <c r="M393" s="20"/>
      <c r="N393" s="20"/>
      <c r="O393" s="29" t="s">
        <v>0</v>
      </c>
      <c r="P393" s="2">
        <f t="shared" si="1"/>
        <v>1.62</v>
      </c>
      <c r="Q393" t="s">
        <v>16</v>
      </c>
    </row>
    <row r="394" spans="2:20" ht="14.25">
      <c r="C394" s="29" t="s">
        <v>0</v>
      </c>
      <c r="D394" s="20"/>
      <c r="E394" s="20"/>
      <c r="F394" s="20">
        <v>1</v>
      </c>
      <c r="G394" s="20" t="s">
        <v>1</v>
      </c>
      <c r="H394" s="7">
        <v>4.2</v>
      </c>
      <c r="I394" s="20" t="s">
        <v>1</v>
      </c>
      <c r="J394" s="7">
        <v>0.45</v>
      </c>
      <c r="K394" s="20"/>
      <c r="L394" s="20"/>
      <c r="M394" s="20"/>
      <c r="N394" s="20"/>
      <c r="O394" s="29" t="s">
        <v>0</v>
      </c>
      <c r="P394" s="2">
        <f t="shared" si="1"/>
        <v>1.8900000000000001</v>
      </c>
      <c r="Q394" t="s">
        <v>16</v>
      </c>
    </row>
    <row r="395" spans="2:20" ht="14.25">
      <c r="C395" s="29" t="s">
        <v>0</v>
      </c>
      <c r="D395" s="20"/>
      <c r="E395" s="20"/>
      <c r="F395" s="20">
        <v>1</v>
      </c>
      <c r="G395" s="20" t="s">
        <v>1</v>
      </c>
      <c r="H395" s="7">
        <v>4.8</v>
      </c>
      <c r="I395" s="20" t="s">
        <v>1</v>
      </c>
      <c r="J395" s="34">
        <v>0.45</v>
      </c>
      <c r="K395" s="33"/>
      <c r="L395" s="33"/>
      <c r="M395" s="33"/>
      <c r="N395" s="33"/>
      <c r="O395" s="35" t="s">
        <v>0</v>
      </c>
      <c r="P395" s="19">
        <f t="shared" si="1"/>
        <v>2.16</v>
      </c>
      <c r="Q395" s="18" t="s">
        <v>16</v>
      </c>
      <c r="R395" s="18"/>
      <c r="S395" s="18"/>
    </row>
    <row r="396" spans="2:20" ht="14.25">
      <c r="C396" s="29" t="s">
        <v>0</v>
      </c>
      <c r="D396" s="20"/>
      <c r="E396" s="20"/>
      <c r="F396" s="20">
        <v>1</v>
      </c>
      <c r="G396" s="20" t="s">
        <v>1</v>
      </c>
      <c r="H396" s="7">
        <v>5.4</v>
      </c>
      <c r="I396" s="20" t="s">
        <v>1</v>
      </c>
      <c r="J396" s="34">
        <v>0.45</v>
      </c>
      <c r="K396" s="33"/>
      <c r="L396" s="33"/>
      <c r="M396" s="33"/>
      <c r="N396" s="33"/>
      <c r="O396" s="35" t="s">
        <v>0</v>
      </c>
      <c r="P396" s="19">
        <f t="shared" si="1"/>
        <v>2.4300000000000002</v>
      </c>
      <c r="Q396" s="18" t="s">
        <v>16</v>
      </c>
      <c r="R396" s="18"/>
      <c r="S396" s="18"/>
    </row>
    <row r="397" spans="2:20" ht="14.25">
      <c r="C397" s="29" t="s">
        <v>0</v>
      </c>
      <c r="D397" s="20"/>
      <c r="E397" s="20"/>
      <c r="F397" s="20">
        <v>1</v>
      </c>
      <c r="G397" s="20" t="s">
        <v>1</v>
      </c>
      <c r="H397" s="7">
        <v>6</v>
      </c>
      <c r="I397" s="20" t="s">
        <v>1</v>
      </c>
      <c r="J397" s="34">
        <v>0.45</v>
      </c>
      <c r="K397" s="33"/>
      <c r="L397" s="33"/>
      <c r="M397" s="33"/>
      <c r="N397" s="33"/>
      <c r="O397" s="35" t="s">
        <v>0</v>
      </c>
      <c r="P397" s="19">
        <f t="shared" si="1"/>
        <v>2.7</v>
      </c>
      <c r="Q397" s="18" t="s">
        <v>16</v>
      </c>
      <c r="R397" s="18"/>
      <c r="S397" s="18"/>
    </row>
    <row r="398" spans="2:20" ht="14.25">
      <c r="C398" s="29" t="s">
        <v>0</v>
      </c>
      <c r="D398" s="20"/>
      <c r="E398" s="20"/>
      <c r="F398" s="20">
        <v>5</v>
      </c>
      <c r="G398" s="20" t="s">
        <v>1</v>
      </c>
      <c r="H398" s="7">
        <v>3</v>
      </c>
      <c r="I398" s="20" t="s">
        <v>1</v>
      </c>
      <c r="J398" s="7">
        <v>0.3</v>
      </c>
      <c r="K398" s="30"/>
      <c r="L398" s="30"/>
      <c r="M398" s="30"/>
      <c r="N398" s="30"/>
      <c r="O398" s="32" t="s">
        <v>0</v>
      </c>
      <c r="P398" s="12">
        <f t="shared" si="1"/>
        <v>4.5</v>
      </c>
      <c r="Q398" s="13" t="s">
        <v>16</v>
      </c>
    </row>
    <row r="399" spans="2:20" ht="14.25">
      <c r="N399" s="7" t="s">
        <v>8</v>
      </c>
      <c r="O399" s="1" t="s">
        <v>0</v>
      </c>
      <c r="P399" s="2">
        <f>SUM(P384:P398)</f>
        <v>43.035000000000004</v>
      </c>
      <c r="Q399" t="s">
        <v>16</v>
      </c>
    </row>
    <row r="400" spans="2:20" ht="14.25">
      <c r="I400" s="8"/>
      <c r="J400" s="961" t="s">
        <v>332</v>
      </c>
      <c r="K400" s="961"/>
      <c r="L400" s="927">
        <v>76</v>
      </c>
      <c r="M400" s="927"/>
      <c r="N400" s="154" t="s">
        <v>17</v>
      </c>
      <c r="O400" s="10"/>
      <c r="P400" s="2"/>
      <c r="R400" s="29" t="s">
        <v>0</v>
      </c>
      <c r="S400" s="16" t="s">
        <v>11</v>
      </c>
      <c r="T400" s="11">
        <f>ROUND(P399*L400,0)</f>
        <v>3271</v>
      </c>
    </row>
    <row r="401" spans="1:20">
      <c r="I401" s="8"/>
      <c r="J401" s="8"/>
      <c r="K401" s="8"/>
      <c r="L401" s="17"/>
      <c r="M401" s="17"/>
      <c r="N401" s="9"/>
      <c r="O401" s="10"/>
      <c r="P401" s="2"/>
      <c r="R401" s="29"/>
      <c r="S401" s="16"/>
      <c r="T401" s="11"/>
    </row>
    <row r="402" spans="1:20">
      <c r="I402" s="8"/>
      <c r="J402" s="8"/>
      <c r="K402" s="8"/>
      <c r="L402" s="17"/>
      <c r="M402" s="17"/>
      <c r="N402" s="9"/>
      <c r="O402" s="10"/>
      <c r="P402" s="12"/>
      <c r="Q402" s="13"/>
      <c r="R402" s="32"/>
      <c r="S402" s="23"/>
      <c r="T402" s="27"/>
    </row>
    <row r="403" spans="1:20">
      <c r="I403" s="8"/>
      <c r="J403" s="8"/>
      <c r="K403" s="8"/>
      <c r="L403" s="17"/>
      <c r="M403" s="17"/>
      <c r="N403" s="9"/>
      <c r="O403" s="10"/>
      <c r="P403" s="894" t="s">
        <v>24</v>
      </c>
      <c r="Q403" s="894"/>
      <c r="R403" s="50" t="s">
        <v>0</v>
      </c>
      <c r="S403" s="49" t="s">
        <v>11</v>
      </c>
      <c r="T403" s="26">
        <f>SUM(T360:T402)</f>
        <v>238423</v>
      </c>
    </row>
    <row r="404" spans="1:20">
      <c r="I404" s="8"/>
      <c r="J404" s="8"/>
      <c r="K404" s="8"/>
      <c r="L404" s="17"/>
      <c r="M404" s="17"/>
      <c r="N404" s="9"/>
      <c r="O404" s="10"/>
      <c r="P404" s="58"/>
      <c r="Q404" s="58"/>
      <c r="R404" s="50"/>
      <c r="S404" s="49"/>
      <c r="T404" s="26"/>
    </row>
    <row r="405" spans="1:20">
      <c r="I405" s="8"/>
      <c r="J405" s="8"/>
      <c r="K405" s="8"/>
      <c r="L405" s="17"/>
      <c r="M405" s="17"/>
      <c r="N405" s="9"/>
      <c r="O405" s="10"/>
      <c r="P405" s="58"/>
      <c r="Q405" s="58"/>
      <c r="R405" s="50"/>
      <c r="S405" s="49"/>
      <c r="T405" s="26"/>
    </row>
    <row r="406" spans="1:20">
      <c r="I406" s="8"/>
      <c r="J406" s="8"/>
      <c r="K406" s="8"/>
      <c r="L406" s="17"/>
      <c r="M406" s="17"/>
      <c r="N406" s="9"/>
      <c r="O406" s="10"/>
      <c r="P406" s="58"/>
      <c r="Q406" s="58"/>
      <c r="R406" s="50"/>
      <c r="S406" s="49"/>
      <c r="T406" s="26"/>
    </row>
    <row r="407" spans="1:20">
      <c r="I407" s="8"/>
      <c r="J407" s="8"/>
      <c r="K407" s="8"/>
      <c r="L407" s="17"/>
      <c r="M407" s="17"/>
      <c r="N407" s="9"/>
      <c r="O407" s="10"/>
      <c r="P407" s="58"/>
      <c r="Q407" s="58"/>
      <c r="R407" s="50"/>
      <c r="S407" s="49"/>
      <c r="T407" s="26"/>
    </row>
    <row r="408" spans="1:20">
      <c r="I408" s="8"/>
      <c r="J408" s="8"/>
      <c r="K408" s="8"/>
      <c r="L408" s="17"/>
      <c r="M408" s="17"/>
      <c r="N408" s="9"/>
      <c r="O408" s="10"/>
      <c r="P408" s="58"/>
      <c r="Q408" s="58"/>
      <c r="R408" s="50"/>
      <c r="S408" s="49"/>
      <c r="T408" s="26"/>
    </row>
    <row r="409" spans="1:20">
      <c r="I409" s="8"/>
      <c r="J409" s="8"/>
      <c r="K409" s="8"/>
      <c r="L409" s="17"/>
      <c r="M409" s="17"/>
      <c r="N409" s="9"/>
      <c r="O409" s="10"/>
      <c r="P409" s="2"/>
      <c r="R409" s="29"/>
      <c r="S409" s="16"/>
      <c r="T409" s="11"/>
    </row>
    <row r="410" spans="1:20">
      <c r="I410" s="8"/>
      <c r="J410" s="8"/>
      <c r="K410" s="8"/>
      <c r="L410" s="17"/>
      <c r="M410" s="17"/>
      <c r="N410" s="9"/>
      <c r="O410" s="10"/>
      <c r="P410" s="895" t="s">
        <v>25</v>
      </c>
      <c r="Q410" s="895"/>
      <c r="R410" s="50" t="s">
        <v>0</v>
      </c>
      <c r="S410" s="49" t="s">
        <v>11</v>
      </c>
      <c r="T410" s="26">
        <f>$T$403</f>
        <v>238423</v>
      </c>
    </row>
    <row r="411" spans="1:20">
      <c r="I411" s="8"/>
      <c r="J411" s="8"/>
      <c r="K411" s="8"/>
      <c r="L411" s="17"/>
      <c r="M411" s="17"/>
      <c r="N411" s="9"/>
      <c r="O411" s="10"/>
      <c r="P411" s="2"/>
      <c r="R411" s="29"/>
      <c r="S411" s="16"/>
      <c r="T411" s="11"/>
    </row>
    <row r="412" spans="1:20" ht="29.25" customHeight="1">
      <c r="A412" s="55" t="s">
        <v>41</v>
      </c>
      <c r="B412" s="924" t="s">
        <v>78</v>
      </c>
      <c r="C412" s="924"/>
      <c r="D412" s="924"/>
      <c r="E412" s="924"/>
      <c r="F412" s="924"/>
      <c r="G412" s="924"/>
      <c r="H412" s="924"/>
      <c r="I412" s="924"/>
      <c r="J412" s="924"/>
      <c r="K412" s="924"/>
      <c r="L412" s="924"/>
      <c r="M412" s="924"/>
      <c r="N412" s="924"/>
      <c r="O412" s="924"/>
      <c r="P412" s="924"/>
      <c r="Q412" s="924"/>
    </row>
    <row r="413" spans="1:20">
      <c r="B413" s="119" t="s">
        <v>297</v>
      </c>
      <c r="C413" s="116"/>
      <c r="D413" s="116"/>
      <c r="E413" s="116"/>
      <c r="F413" s="116"/>
      <c r="G413" s="116"/>
      <c r="H413" s="116"/>
      <c r="I413" s="116"/>
      <c r="J413" s="116"/>
      <c r="K413" s="116"/>
      <c r="L413" s="116"/>
      <c r="M413" s="116"/>
      <c r="N413" s="116"/>
      <c r="O413" s="116"/>
      <c r="P413" s="116"/>
      <c r="Q413" s="116"/>
      <c r="R413" s="51"/>
      <c r="S413" s="51"/>
    </row>
    <row r="414" spans="1:20">
      <c r="B414" s="119" t="s">
        <v>290</v>
      </c>
      <c r="C414" s="116"/>
      <c r="D414" s="116"/>
      <c r="E414" s="116"/>
      <c r="F414" s="116"/>
      <c r="G414" s="121" t="s">
        <v>0</v>
      </c>
      <c r="H414" s="887">
        <f>P292*1</f>
        <v>6.18</v>
      </c>
      <c r="I414" s="887"/>
      <c r="J414" s="146" t="s">
        <v>341</v>
      </c>
      <c r="L414" s="122">
        <v>1.2</v>
      </c>
      <c r="M414" s="119" t="s">
        <v>292</v>
      </c>
      <c r="N414" s="116"/>
      <c r="O414" s="120" t="s">
        <v>0</v>
      </c>
      <c r="P414" s="123">
        <f>ROUND(H414*L414,2)</f>
        <v>7.42</v>
      </c>
      <c r="Q414" s="116" t="s">
        <v>275</v>
      </c>
      <c r="R414" s="51"/>
      <c r="S414" s="51"/>
    </row>
    <row r="415" spans="1:20">
      <c r="B415" s="119" t="s">
        <v>293</v>
      </c>
      <c r="C415" s="116"/>
      <c r="D415" s="116"/>
      <c r="E415" s="116"/>
      <c r="F415" s="116"/>
      <c r="G415" s="121" t="s">
        <v>0</v>
      </c>
      <c r="H415" s="887">
        <f>P301*1</f>
        <v>2.77</v>
      </c>
      <c r="I415" s="887"/>
      <c r="J415" s="146" t="s">
        <v>341</v>
      </c>
      <c r="L415" s="122">
        <v>0.85</v>
      </c>
      <c r="M415" s="119" t="s">
        <v>292</v>
      </c>
      <c r="N415" s="116"/>
      <c r="O415" s="120" t="s">
        <v>0</v>
      </c>
      <c r="P415" s="123">
        <f>ROUND(H415*L415,2)</f>
        <v>2.35</v>
      </c>
      <c r="Q415" s="116" t="s">
        <v>275</v>
      </c>
      <c r="R415" s="51"/>
      <c r="S415" s="51"/>
    </row>
    <row r="416" spans="1:20">
      <c r="B416" s="119" t="s">
        <v>294</v>
      </c>
      <c r="C416" s="116"/>
      <c r="D416" s="116"/>
      <c r="E416" s="116"/>
      <c r="F416" s="116"/>
      <c r="G416" s="121" t="s">
        <v>0</v>
      </c>
      <c r="H416" s="887">
        <f>P332*1</f>
        <v>49.949655</v>
      </c>
      <c r="I416" s="887"/>
      <c r="J416" s="146" t="s">
        <v>341</v>
      </c>
      <c r="L416" s="122">
        <v>1.1599999999999999</v>
      </c>
      <c r="M416" s="119" t="s">
        <v>292</v>
      </c>
      <c r="N416" s="116"/>
      <c r="O416" s="120" t="s">
        <v>0</v>
      </c>
      <c r="P416" s="123">
        <f>ROUND(H416*L416,2)</f>
        <v>57.94</v>
      </c>
      <c r="Q416" s="116" t="s">
        <v>275</v>
      </c>
      <c r="R416" s="51"/>
      <c r="S416" s="51"/>
    </row>
    <row r="417" spans="1:20">
      <c r="B417" s="119" t="s">
        <v>295</v>
      </c>
      <c r="C417" s="116"/>
      <c r="D417" s="116"/>
      <c r="E417" s="116"/>
      <c r="F417" s="116"/>
      <c r="G417" s="121" t="s">
        <v>0</v>
      </c>
      <c r="H417" s="887">
        <f>P366*1</f>
        <v>16.993399999999998</v>
      </c>
      <c r="I417" s="887"/>
      <c r="J417" s="146" t="s">
        <v>341</v>
      </c>
      <c r="L417" s="122">
        <v>1.2</v>
      </c>
      <c r="M417" s="124" t="s">
        <v>292</v>
      </c>
      <c r="N417" s="104"/>
      <c r="O417" s="125" t="s">
        <v>0</v>
      </c>
      <c r="P417" s="126">
        <f>ROUND(H417*L417,2)</f>
        <v>20.39</v>
      </c>
      <c r="Q417" s="104" t="s">
        <v>275</v>
      </c>
      <c r="R417" s="51"/>
      <c r="S417" s="51"/>
    </row>
    <row r="418" spans="1:20">
      <c r="B418" s="116"/>
      <c r="C418" s="116"/>
      <c r="D418" s="116"/>
      <c r="E418" s="116"/>
      <c r="F418" s="116"/>
      <c r="G418" s="116"/>
      <c r="H418" s="116"/>
      <c r="I418" s="116"/>
      <c r="J418" s="116"/>
      <c r="K418" s="116"/>
      <c r="L418" s="116"/>
      <c r="M418" s="897" t="s">
        <v>8</v>
      </c>
      <c r="N418" s="897"/>
      <c r="O418" s="120" t="s">
        <v>0</v>
      </c>
      <c r="P418" s="123">
        <f>SUM(P414:P417)</f>
        <v>88.1</v>
      </c>
      <c r="Q418" s="116" t="s">
        <v>275</v>
      </c>
      <c r="R418" s="51"/>
      <c r="S418" s="51"/>
    </row>
    <row r="419" spans="1:20">
      <c r="B419" s="116"/>
      <c r="C419" s="116"/>
      <c r="D419" s="116"/>
      <c r="E419" s="116"/>
      <c r="F419" s="116"/>
      <c r="G419" s="116"/>
      <c r="H419" s="116"/>
      <c r="I419" s="116"/>
      <c r="J419" s="116"/>
      <c r="K419" s="116"/>
      <c r="L419" s="116"/>
      <c r="M419" s="116"/>
      <c r="N419" s="116"/>
      <c r="O419" s="116"/>
      <c r="P419" s="116"/>
      <c r="Q419" s="116"/>
      <c r="R419" s="51"/>
      <c r="S419" s="51"/>
    </row>
    <row r="420" spans="1:20">
      <c r="B420" s="119" t="s">
        <v>296</v>
      </c>
      <c r="C420" s="116"/>
      <c r="D420" s="116"/>
      <c r="E420" s="116"/>
      <c r="F420" s="116"/>
      <c r="G420" s="116"/>
      <c r="H420" s="116"/>
      <c r="I420" s="116"/>
      <c r="J420" s="116"/>
      <c r="K420" s="116"/>
      <c r="L420" s="116"/>
      <c r="M420" s="116"/>
      <c r="N420" s="116"/>
      <c r="O420" s="116"/>
      <c r="P420" s="116"/>
      <c r="Q420" s="116"/>
      <c r="R420" s="51"/>
      <c r="S420" s="51"/>
    </row>
    <row r="421" spans="1:20">
      <c r="B421" s="119" t="s">
        <v>298</v>
      </c>
      <c r="C421" s="116"/>
      <c r="D421" s="116"/>
      <c r="E421" s="116"/>
      <c r="F421" s="116"/>
      <c r="G421" s="121" t="s">
        <v>0</v>
      </c>
      <c r="H421" s="887">
        <f>P301*1</f>
        <v>2.77</v>
      </c>
      <c r="I421" s="887"/>
      <c r="J421" s="146" t="s">
        <v>341</v>
      </c>
      <c r="L421" s="122">
        <v>0.45</v>
      </c>
      <c r="M421" s="119" t="s">
        <v>292</v>
      </c>
      <c r="N421" s="116"/>
      <c r="O421" s="120" t="s">
        <v>0</v>
      </c>
      <c r="P421" s="123">
        <f>ROUND(H421*L421,2)</f>
        <v>1.25</v>
      </c>
      <c r="Q421" s="116" t="s">
        <v>275</v>
      </c>
      <c r="R421" s="51"/>
      <c r="S421" s="51"/>
    </row>
    <row r="422" spans="1:20">
      <c r="B422" s="119" t="s">
        <v>299</v>
      </c>
      <c r="C422" s="116"/>
      <c r="D422" s="116"/>
      <c r="E422" s="116"/>
      <c r="F422" s="116"/>
      <c r="G422" s="121" t="s">
        <v>0</v>
      </c>
      <c r="H422" s="887">
        <f>P332*1</f>
        <v>49.949655</v>
      </c>
      <c r="I422" s="887"/>
      <c r="J422" s="146" t="s">
        <v>341</v>
      </c>
      <c r="L422" s="122">
        <v>0.35</v>
      </c>
      <c r="M422" s="119" t="s">
        <v>292</v>
      </c>
      <c r="N422" s="116"/>
      <c r="O422" s="120" t="s">
        <v>0</v>
      </c>
      <c r="P422" s="123">
        <f>ROUND(H422*L422,2)</f>
        <v>17.48</v>
      </c>
      <c r="Q422" s="116" t="s">
        <v>275</v>
      </c>
      <c r="R422" s="51"/>
      <c r="S422" s="51"/>
    </row>
    <row r="423" spans="1:20">
      <c r="B423" s="119" t="s">
        <v>300</v>
      </c>
      <c r="C423" s="116"/>
      <c r="D423" s="116"/>
      <c r="E423" s="116"/>
      <c r="F423" s="116"/>
      <c r="G423" s="121" t="s">
        <v>0</v>
      </c>
      <c r="H423" s="887">
        <f>P399*1</f>
        <v>43.035000000000004</v>
      </c>
      <c r="I423" s="887"/>
      <c r="J423" s="146" t="s">
        <v>342</v>
      </c>
      <c r="L423" s="127">
        <v>1.4999999999999999E-2</v>
      </c>
      <c r="M423" s="124" t="s">
        <v>301</v>
      </c>
      <c r="N423" s="104"/>
      <c r="O423" s="125" t="s">
        <v>0</v>
      </c>
      <c r="P423" s="126">
        <f>ROUND(H423*L423,2)</f>
        <v>0.65</v>
      </c>
      <c r="Q423" s="104" t="s">
        <v>275</v>
      </c>
      <c r="R423" s="51"/>
      <c r="S423" s="51"/>
    </row>
    <row r="424" spans="1:20">
      <c r="B424" s="116"/>
      <c r="C424" s="116"/>
      <c r="D424" s="116"/>
      <c r="E424" s="116"/>
      <c r="F424" s="116"/>
      <c r="G424" s="116"/>
      <c r="H424" s="116"/>
      <c r="I424" s="116"/>
      <c r="J424" s="116"/>
      <c r="K424" s="116"/>
      <c r="L424" s="116"/>
      <c r="M424" s="897" t="s">
        <v>8</v>
      </c>
      <c r="N424" s="897"/>
      <c r="O424" s="120" t="s">
        <v>0</v>
      </c>
      <c r="P424" s="123">
        <f>SUM(P421:P423)</f>
        <v>19.38</v>
      </c>
      <c r="Q424" s="116" t="s">
        <v>275</v>
      </c>
      <c r="R424" s="51"/>
      <c r="S424" s="51"/>
    </row>
    <row r="425" spans="1:20">
      <c r="B425" s="56"/>
      <c r="C425" s="56"/>
      <c r="D425" s="56"/>
      <c r="E425" s="56"/>
      <c r="F425" s="56"/>
      <c r="G425" s="56"/>
      <c r="H425" s="56"/>
      <c r="I425" s="56"/>
      <c r="J425" s="56"/>
      <c r="K425" s="51"/>
      <c r="L425" s="51"/>
      <c r="M425" s="51"/>
      <c r="N425" s="51"/>
      <c r="O425" s="51"/>
      <c r="P425" s="18"/>
      <c r="Q425" s="56"/>
      <c r="R425" s="51"/>
      <c r="S425" s="51"/>
    </row>
    <row r="426" spans="1:20">
      <c r="A426" s="20">
        <v>1.2</v>
      </c>
      <c r="B426" s="61" t="s">
        <v>42</v>
      </c>
      <c r="C426" s="61"/>
      <c r="D426" s="61"/>
      <c r="E426" s="61"/>
      <c r="F426" s="61"/>
      <c r="G426" s="61"/>
      <c r="H426" s="61"/>
      <c r="I426" s="61"/>
      <c r="J426" s="61"/>
      <c r="K426" s="62"/>
      <c r="L426" s="62"/>
      <c r="M426" s="62"/>
      <c r="N426" s="62"/>
      <c r="O426" s="51"/>
      <c r="P426" s="18"/>
      <c r="Q426" s="56"/>
      <c r="R426" s="51"/>
      <c r="S426" s="51"/>
    </row>
    <row r="427" spans="1:20" ht="14.25">
      <c r="B427" s="61" t="s">
        <v>43</v>
      </c>
      <c r="C427" s="61"/>
      <c r="D427" s="61"/>
      <c r="E427" s="61"/>
      <c r="F427" s="61"/>
      <c r="G427" s="61"/>
      <c r="H427" s="61"/>
      <c r="I427" s="61"/>
      <c r="J427" s="61"/>
      <c r="K427" s="928">
        <f>P418*1</f>
        <v>88.1</v>
      </c>
      <c r="L427" s="929"/>
      <c r="M427" s="909" t="s">
        <v>57</v>
      </c>
      <c r="N427" s="909"/>
      <c r="O427" s="51"/>
      <c r="P427" s="18"/>
      <c r="Q427" s="56"/>
      <c r="R427" s="51"/>
      <c r="S427" s="51"/>
    </row>
    <row r="428" spans="1:20" ht="14.25">
      <c r="B428" s="61" t="s">
        <v>44</v>
      </c>
      <c r="C428" s="61"/>
      <c r="D428" s="61"/>
      <c r="E428" s="61"/>
      <c r="F428" s="61"/>
      <c r="G428" s="61"/>
      <c r="H428" s="63"/>
      <c r="I428" s="63"/>
      <c r="J428" s="63"/>
      <c r="K428" s="930">
        <f>P424*1</f>
        <v>19.38</v>
      </c>
      <c r="L428" s="930"/>
      <c r="M428" s="931" t="s">
        <v>57</v>
      </c>
      <c r="N428" s="931"/>
      <c r="O428" s="51"/>
      <c r="P428" s="18"/>
      <c r="Q428" s="56"/>
      <c r="R428" s="51"/>
      <c r="S428" s="51"/>
    </row>
    <row r="429" spans="1:20" ht="14.25">
      <c r="B429" s="61"/>
      <c r="C429" s="61"/>
      <c r="D429" s="61"/>
      <c r="E429" s="61"/>
      <c r="F429" s="61"/>
      <c r="G429" s="61"/>
      <c r="H429" s="18" t="s">
        <v>334</v>
      </c>
      <c r="I429" s="61"/>
      <c r="J429" s="61"/>
      <c r="K429" s="917">
        <f>K427+K428</f>
        <v>107.47999999999999</v>
      </c>
      <c r="L429" s="918"/>
      <c r="M429" s="909" t="s">
        <v>57</v>
      </c>
      <c r="N429" s="909"/>
      <c r="O429" s="51"/>
      <c r="P429" s="18"/>
      <c r="Q429" s="56"/>
      <c r="R429" s="51"/>
      <c r="S429" s="51"/>
    </row>
    <row r="430" spans="1:20" ht="14.25">
      <c r="B430" s="56"/>
      <c r="C430" s="56"/>
      <c r="D430" s="56"/>
      <c r="E430" s="56"/>
      <c r="F430" s="56"/>
      <c r="G430" s="56"/>
      <c r="H430" s="56"/>
      <c r="I430" s="56"/>
      <c r="J430" s="886" t="s">
        <v>9</v>
      </c>
      <c r="K430" s="886"/>
      <c r="L430" s="891">
        <v>95</v>
      </c>
      <c r="M430" s="891"/>
      <c r="N430" s="9" t="s">
        <v>10</v>
      </c>
      <c r="O430" s="10"/>
      <c r="P430" s="2"/>
      <c r="R430" s="29" t="s">
        <v>0</v>
      </c>
      <c r="S430" s="16" t="s">
        <v>11</v>
      </c>
      <c r="T430" s="66">
        <f>ROUND(L430*K429,0)</f>
        <v>10211</v>
      </c>
    </row>
    <row r="431" spans="1:20">
      <c r="B431" s="56"/>
      <c r="C431" s="56"/>
      <c r="D431" s="56"/>
      <c r="E431" s="56"/>
      <c r="F431" s="56"/>
      <c r="G431" s="56"/>
      <c r="H431" s="56"/>
      <c r="I431" s="56"/>
      <c r="J431" s="56"/>
      <c r="K431" s="51"/>
      <c r="L431" s="51"/>
      <c r="M431" s="51"/>
      <c r="N431" s="51"/>
      <c r="O431" s="51"/>
      <c r="P431" s="18"/>
      <c r="Q431" s="56"/>
      <c r="R431" s="51"/>
      <c r="S431" s="51"/>
    </row>
    <row r="432" spans="1:20">
      <c r="B432" s="56"/>
      <c r="C432" s="56"/>
      <c r="D432" s="56"/>
      <c r="E432" s="56"/>
      <c r="F432" s="56"/>
      <c r="G432" s="56"/>
      <c r="H432" s="56"/>
      <c r="I432" s="56"/>
      <c r="J432" s="56"/>
      <c r="K432" s="51"/>
      <c r="L432" s="51"/>
      <c r="M432" s="51"/>
      <c r="N432" s="51"/>
      <c r="O432" s="51"/>
      <c r="P432" s="18"/>
      <c r="Q432" s="56"/>
      <c r="R432" s="51"/>
      <c r="S432" s="51"/>
    </row>
    <row r="433" spans="1:20">
      <c r="A433" s="20">
        <v>1.3</v>
      </c>
      <c r="B433" s="56" t="s">
        <v>46</v>
      </c>
      <c r="C433" s="56"/>
      <c r="D433" s="56"/>
      <c r="E433" s="56"/>
      <c r="F433" s="56"/>
      <c r="G433" s="56"/>
      <c r="H433" s="56"/>
      <c r="I433" s="56"/>
      <c r="J433" s="56"/>
      <c r="K433" s="51"/>
      <c r="L433" s="51"/>
      <c r="M433" s="51"/>
      <c r="N433" s="51"/>
      <c r="O433" s="51"/>
      <c r="P433" s="18"/>
      <c r="Q433" s="56"/>
      <c r="R433" s="51"/>
      <c r="S433" s="51"/>
    </row>
    <row r="434" spans="1:20">
      <c r="B434" s="3" t="s">
        <v>124</v>
      </c>
    </row>
    <row r="435" spans="1:20">
      <c r="A435" s="16"/>
      <c r="C435" s="907" t="s">
        <v>52</v>
      </c>
      <c r="D435" s="907"/>
      <c r="E435" s="907"/>
      <c r="F435" s="907"/>
      <c r="G435" s="907"/>
      <c r="H435" s="907"/>
      <c r="I435" s="907"/>
      <c r="J435" s="907"/>
      <c r="K435" s="907"/>
    </row>
    <row r="436" spans="1:20">
      <c r="C436" t="s">
        <v>53</v>
      </c>
      <c r="L436" s="17"/>
      <c r="M436" s="17"/>
      <c r="N436" s="17"/>
      <c r="O436" s="9"/>
      <c r="P436" s="10"/>
      <c r="T436" s="11"/>
    </row>
    <row r="437" spans="1:20" ht="14.25">
      <c r="C437" t="s">
        <v>56</v>
      </c>
      <c r="F437" s="22"/>
      <c r="I437" s="24"/>
      <c r="J437" s="24"/>
      <c r="K437" s="47"/>
      <c r="L437" s="17"/>
      <c r="M437" s="60" t="s">
        <v>0</v>
      </c>
      <c r="N437" s="891">
        <f>K427*1</f>
        <v>88.1</v>
      </c>
      <c r="O437" s="891"/>
      <c r="P437" s="64" t="s">
        <v>7</v>
      </c>
      <c r="Q437" s="18"/>
      <c r="R437" s="18"/>
      <c r="S437" s="25"/>
      <c r="T437" s="57"/>
    </row>
    <row r="438" spans="1:20" ht="14.25">
      <c r="C438" t="s">
        <v>62</v>
      </c>
      <c r="F438" s="22"/>
      <c r="I438" s="24"/>
      <c r="J438" s="24"/>
      <c r="K438" s="47"/>
      <c r="L438" s="17"/>
      <c r="M438" s="60"/>
      <c r="N438" s="17"/>
      <c r="O438" s="17"/>
      <c r="P438" s="64"/>
      <c r="Q438" s="18"/>
      <c r="R438" s="18"/>
      <c r="S438" s="25"/>
      <c r="T438" s="57"/>
    </row>
    <row r="439" spans="1:20">
      <c r="D439" s="1" t="s">
        <v>0</v>
      </c>
      <c r="E439" s="888">
        <f>N437*1</f>
        <v>88.1</v>
      </c>
      <c r="F439" s="888"/>
      <c r="G439" t="s">
        <v>1</v>
      </c>
      <c r="H439" s="7">
        <v>2.4</v>
      </c>
      <c r="I439" t="s">
        <v>1</v>
      </c>
      <c r="J439" s="2">
        <v>10</v>
      </c>
      <c r="L439" s="17"/>
      <c r="M439" s="60" t="s">
        <v>0</v>
      </c>
      <c r="N439" s="888">
        <f>ROUND(E439*H439*J439,2)</f>
        <v>2114.4</v>
      </c>
      <c r="O439" s="888"/>
      <c r="P439" s="65" t="s">
        <v>58</v>
      </c>
      <c r="Q439" s="58"/>
      <c r="R439" s="50"/>
      <c r="S439" s="49"/>
      <c r="T439" s="26"/>
    </row>
    <row r="440" spans="1:20">
      <c r="J440" s="886" t="s">
        <v>9</v>
      </c>
      <c r="K440" s="886"/>
      <c r="L440" s="891">
        <v>3.6</v>
      </c>
      <c r="M440" s="891"/>
      <c r="N440" s="9" t="s">
        <v>59</v>
      </c>
      <c r="O440" s="10"/>
      <c r="P440" s="2"/>
      <c r="R440" s="29" t="s">
        <v>0</v>
      </c>
      <c r="S440" s="16" t="s">
        <v>11</v>
      </c>
      <c r="T440" s="66">
        <f>ROUND(N439*L440,0)</f>
        <v>7612</v>
      </c>
    </row>
    <row r="441" spans="1:20">
      <c r="L441" s="17"/>
      <c r="M441" s="17"/>
      <c r="N441" s="17"/>
      <c r="O441" s="9"/>
      <c r="P441" s="49"/>
      <c r="Q441" s="49"/>
      <c r="R441" s="50"/>
      <c r="S441" s="49"/>
      <c r="T441" s="26"/>
    </row>
    <row r="442" spans="1:20">
      <c r="C442" t="s">
        <v>60</v>
      </c>
      <c r="L442" s="17"/>
      <c r="M442" s="17"/>
      <c r="N442" s="17"/>
      <c r="O442" s="9"/>
      <c r="P442" s="49"/>
      <c r="Q442" s="49"/>
      <c r="R442" s="50"/>
      <c r="S442" s="49"/>
      <c r="T442" s="26"/>
    </row>
    <row r="443" spans="1:20">
      <c r="D443" s="1" t="s">
        <v>0</v>
      </c>
      <c r="E443" s="888">
        <f>N437*1</f>
        <v>88.1</v>
      </c>
      <c r="F443" s="888"/>
      <c r="G443" t="s">
        <v>1</v>
      </c>
      <c r="H443" s="7">
        <v>2.4</v>
      </c>
      <c r="I443" t="s">
        <v>1</v>
      </c>
      <c r="J443" s="2">
        <v>1</v>
      </c>
      <c r="L443" s="17"/>
      <c r="M443" s="60" t="s">
        <v>0</v>
      </c>
      <c r="N443" s="888">
        <f>ROUND(E443*H443*J443,2)</f>
        <v>211.44</v>
      </c>
      <c r="O443" s="888"/>
      <c r="P443" s="65" t="s">
        <v>58</v>
      </c>
      <c r="Q443" s="58"/>
      <c r="R443" s="50"/>
      <c r="S443" s="49"/>
      <c r="T443" s="26"/>
    </row>
    <row r="444" spans="1:20">
      <c r="J444" s="886" t="s">
        <v>9</v>
      </c>
      <c r="K444" s="886"/>
      <c r="L444" s="891">
        <v>8.6</v>
      </c>
      <c r="M444" s="891"/>
      <c r="N444" s="9" t="s">
        <v>59</v>
      </c>
      <c r="O444" s="10"/>
      <c r="P444" s="2"/>
      <c r="R444" s="29" t="s">
        <v>0</v>
      </c>
      <c r="S444" s="16" t="s">
        <v>11</v>
      </c>
      <c r="T444" s="66">
        <f>ROUND(N443*L444,0)</f>
        <v>1818</v>
      </c>
    </row>
    <row r="445" spans="1:20">
      <c r="R445" s="16"/>
      <c r="S445" s="16"/>
    </row>
    <row r="446" spans="1:20">
      <c r="B446" s="3" t="s">
        <v>123</v>
      </c>
      <c r="R446" s="16"/>
      <c r="S446" s="16"/>
    </row>
    <row r="447" spans="1:20">
      <c r="A447" s="16"/>
      <c r="C447" s="890" t="s">
        <v>54</v>
      </c>
      <c r="D447" s="890"/>
      <c r="E447" s="890"/>
      <c r="F447" s="890"/>
      <c r="G447" s="890"/>
      <c r="H447" s="890"/>
      <c r="I447" s="890"/>
      <c r="J447" s="890"/>
      <c r="K447" s="890"/>
      <c r="R447" s="16"/>
      <c r="S447" s="16"/>
    </row>
    <row r="448" spans="1:20">
      <c r="C448" t="s">
        <v>55</v>
      </c>
      <c r="R448" s="16"/>
      <c r="S448" s="16"/>
    </row>
    <row r="449" spans="3:20" ht="14.25">
      <c r="C449" t="s">
        <v>61</v>
      </c>
      <c r="F449" s="22"/>
      <c r="I449" s="24"/>
      <c r="J449" s="24"/>
      <c r="K449" s="47"/>
      <c r="L449" s="17"/>
      <c r="M449" s="60" t="s">
        <v>0</v>
      </c>
      <c r="N449" s="891">
        <f>K428*1</f>
        <v>19.38</v>
      </c>
      <c r="O449" s="891"/>
      <c r="P449" s="64" t="s">
        <v>7</v>
      </c>
      <c r="Q449" s="18"/>
      <c r="R449" s="18"/>
      <c r="S449" s="25"/>
      <c r="T449" s="57"/>
    </row>
    <row r="450" spans="3:20" ht="14.25">
      <c r="C450" t="s">
        <v>63</v>
      </c>
      <c r="F450" s="22"/>
      <c r="I450" s="24"/>
      <c r="J450" s="24"/>
      <c r="K450" s="47"/>
      <c r="L450" s="17"/>
      <c r="M450" s="60"/>
      <c r="N450" s="17"/>
      <c r="O450" s="17"/>
      <c r="P450" s="64"/>
      <c r="Q450" s="18"/>
      <c r="R450" s="18"/>
      <c r="S450" s="25"/>
      <c r="T450" s="57"/>
    </row>
    <row r="451" spans="3:20">
      <c r="D451" s="1" t="s">
        <v>0</v>
      </c>
      <c r="E451" s="888">
        <f>N449*1</f>
        <v>19.38</v>
      </c>
      <c r="F451" s="888"/>
      <c r="G451" t="s">
        <v>1</v>
      </c>
      <c r="H451" s="7">
        <v>1.84</v>
      </c>
      <c r="I451" t="s">
        <v>1</v>
      </c>
      <c r="J451" s="2">
        <v>14</v>
      </c>
      <c r="L451" s="17"/>
      <c r="M451" s="60" t="s">
        <v>0</v>
      </c>
      <c r="N451" s="888">
        <f>ROUND(E451*H451*J451,2)</f>
        <v>499.23</v>
      </c>
      <c r="O451" s="888"/>
      <c r="P451" s="65" t="s">
        <v>58</v>
      </c>
      <c r="Q451" s="58"/>
      <c r="R451" s="50"/>
      <c r="S451" s="49"/>
      <c r="T451" s="26"/>
    </row>
    <row r="452" spans="3:20">
      <c r="J452" s="886" t="s">
        <v>9</v>
      </c>
      <c r="K452" s="886"/>
      <c r="L452" s="891">
        <v>3.6</v>
      </c>
      <c r="M452" s="891"/>
      <c r="N452" s="9" t="s">
        <v>59</v>
      </c>
      <c r="O452" s="10"/>
      <c r="P452" s="2"/>
      <c r="R452" s="29" t="s">
        <v>0</v>
      </c>
      <c r="S452" s="16" t="s">
        <v>11</v>
      </c>
      <c r="T452" s="66">
        <f>ROUND(N451*L452,0)</f>
        <v>1797</v>
      </c>
    </row>
    <row r="453" spans="3:20">
      <c r="L453" s="17"/>
      <c r="M453" s="17"/>
      <c r="N453" s="17"/>
      <c r="O453" s="9"/>
      <c r="P453" s="49"/>
      <c r="Q453" s="49"/>
      <c r="R453" s="50"/>
      <c r="S453" s="49"/>
      <c r="T453" s="26"/>
    </row>
    <row r="454" spans="3:20">
      <c r="C454" t="s">
        <v>60</v>
      </c>
      <c r="L454" s="17"/>
      <c r="M454" s="17"/>
      <c r="N454" s="17"/>
      <c r="O454" s="9"/>
      <c r="P454" s="49"/>
      <c r="Q454" s="49"/>
      <c r="R454" s="50"/>
      <c r="S454" s="49"/>
      <c r="T454" s="26"/>
    </row>
    <row r="455" spans="3:20">
      <c r="D455" s="1" t="s">
        <v>0</v>
      </c>
      <c r="E455" s="888">
        <f>N449*1</f>
        <v>19.38</v>
      </c>
      <c r="F455" s="888"/>
      <c r="G455" t="s">
        <v>1</v>
      </c>
      <c r="H455" s="7">
        <v>1.84</v>
      </c>
      <c r="I455" t="s">
        <v>1</v>
      </c>
      <c r="J455" s="2">
        <v>1</v>
      </c>
      <c r="L455" s="17"/>
      <c r="M455" s="60" t="s">
        <v>0</v>
      </c>
      <c r="N455" s="888">
        <f>ROUND(E455*H455*J455,2)</f>
        <v>35.659999999999997</v>
      </c>
      <c r="O455" s="888"/>
      <c r="P455" s="65" t="s">
        <v>58</v>
      </c>
      <c r="Q455" s="58"/>
      <c r="R455" s="50"/>
      <c r="S455" s="49"/>
      <c r="T455" s="26"/>
    </row>
    <row r="456" spans="3:20">
      <c r="J456" s="886" t="s">
        <v>9</v>
      </c>
      <c r="K456" s="886"/>
      <c r="L456" s="891">
        <v>8.6</v>
      </c>
      <c r="M456" s="891"/>
      <c r="N456" s="9" t="s">
        <v>59</v>
      </c>
      <c r="O456" s="10"/>
      <c r="P456" s="2"/>
      <c r="R456" s="29" t="s">
        <v>0</v>
      </c>
      <c r="S456" s="16" t="s">
        <v>11</v>
      </c>
      <c r="T456" s="66">
        <f>ROUND(N455*L456,0)</f>
        <v>307</v>
      </c>
    </row>
    <row r="457" spans="3:20">
      <c r="J457" s="8"/>
      <c r="K457" s="8"/>
      <c r="L457" s="17"/>
      <c r="M457" s="17"/>
      <c r="N457" s="9"/>
      <c r="O457" s="10"/>
      <c r="P457" s="2"/>
      <c r="S457" s="16"/>
      <c r="T457" s="66"/>
    </row>
    <row r="458" spans="3:20">
      <c r="P458" s="13"/>
      <c r="Q458" s="13"/>
      <c r="R458" s="23"/>
      <c r="S458" s="23"/>
      <c r="T458" s="13"/>
    </row>
    <row r="459" spans="3:20">
      <c r="P459" s="894" t="s">
        <v>24</v>
      </c>
      <c r="Q459" s="894"/>
      <c r="R459" s="50" t="s">
        <v>0</v>
      </c>
      <c r="S459" s="49" t="s">
        <v>11</v>
      </c>
      <c r="T459" s="28">
        <f>SUM(T410:T458)</f>
        <v>260168</v>
      </c>
    </row>
    <row r="460" spans="3:20">
      <c r="T460" s="28"/>
    </row>
    <row r="461" spans="3:20">
      <c r="T461" s="28"/>
    </row>
    <row r="462" spans="3:20">
      <c r="T462" s="28"/>
    </row>
    <row r="463" spans="3:20">
      <c r="T463" s="28"/>
    </row>
    <row r="464" spans="3:20">
      <c r="T464" s="28"/>
    </row>
    <row r="465" spans="1:20">
      <c r="T465" s="28"/>
    </row>
    <row r="466" spans="1:20">
      <c r="T466" s="28"/>
    </row>
    <row r="467" spans="1:20">
      <c r="P467" s="895" t="s">
        <v>25</v>
      </c>
      <c r="Q467" s="895"/>
      <c r="R467" s="50" t="s">
        <v>0</v>
      </c>
      <c r="S467" s="49" t="s">
        <v>11</v>
      </c>
      <c r="T467" s="28">
        <f>$T$459</f>
        <v>260168</v>
      </c>
    </row>
    <row r="468" spans="1:20">
      <c r="T468" s="28"/>
    </row>
    <row r="469" spans="1:20">
      <c r="A469" s="1" t="s">
        <v>69</v>
      </c>
      <c r="B469" t="s">
        <v>19</v>
      </c>
    </row>
    <row r="470" spans="1:20">
      <c r="C470" t="s">
        <v>168</v>
      </c>
    </row>
    <row r="471" spans="1:20">
      <c r="C471" t="s">
        <v>333</v>
      </c>
      <c r="G471" t="s">
        <v>1</v>
      </c>
      <c r="H471" s="12">
        <v>2.5</v>
      </c>
      <c r="I471" s="14" t="s">
        <v>0</v>
      </c>
      <c r="J471" s="100">
        <f>H471*4</f>
        <v>10</v>
      </c>
      <c r="K471" s="100" t="s">
        <v>13</v>
      </c>
      <c r="L471" s="100"/>
      <c r="M471" s="24"/>
    </row>
    <row r="472" spans="1:20">
      <c r="H472" s="2" t="s">
        <v>8</v>
      </c>
      <c r="I472" s="1" t="s">
        <v>0</v>
      </c>
      <c r="J472" s="24">
        <f>SUM(J471:J471)</f>
        <v>10</v>
      </c>
      <c r="K472" s="24" t="s">
        <v>13</v>
      </c>
      <c r="L472" s="24"/>
      <c r="M472" s="24"/>
    </row>
    <row r="473" spans="1:20">
      <c r="H473" s="2"/>
      <c r="I473" s="1"/>
      <c r="J473" s="24"/>
      <c r="K473" s="24"/>
      <c r="L473" s="24"/>
      <c r="M473" s="24"/>
    </row>
    <row r="474" spans="1:20">
      <c r="B474" t="s">
        <v>22</v>
      </c>
      <c r="H474" s="2">
        <v>12.5</v>
      </c>
      <c r="I474" s="1" t="s">
        <v>20</v>
      </c>
      <c r="K474" s="1" t="s">
        <v>0</v>
      </c>
      <c r="L474" t="s">
        <v>170</v>
      </c>
      <c r="M474" s="1"/>
      <c r="N474" s="891">
        <f>H474*10</f>
        <v>125</v>
      </c>
      <c r="O474" s="891"/>
    </row>
    <row r="475" spans="1:20">
      <c r="B475" t="s">
        <v>169</v>
      </c>
      <c r="H475" s="2">
        <v>4.25</v>
      </c>
      <c r="I475" s="14" t="s">
        <v>20</v>
      </c>
      <c r="J475" s="13"/>
      <c r="K475" s="14" t="s">
        <v>0</v>
      </c>
      <c r="L475" s="13" t="s">
        <v>170</v>
      </c>
      <c r="M475" s="14"/>
      <c r="N475" s="905">
        <f>H475*4</f>
        <v>17</v>
      </c>
      <c r="O475" s="905"/>
    </row>
    <row r="476" spans="1:20">
      <c r="J476" s="20" t="s">
        <v>8</v>
      </c>
      <c r="K476" s="1" t="s">
        <v>0</v>
      </c>
      <c r="L476" t="s">
        <v>170</v>
      </c>
      <c r="M476" s="1"/>
      <c r="N476" s="922">
        <f>SUM(N474:N475)</f>
        <v>142</v>
      </c>
      <c r="O476" s="922"/>
    </row>
    <row r="477" spans="1:20">
      <c r="N477" s="21"/>
      <c r="O477" s="21"/>
    </row>
    <row r="478" spans="1:20">
      <c r="B478" t="s">
        <v>23</v>
      </c>
      <c r="F478" s="891">
        <f>$J$726</f>
        <v>10</v>
      </c>
      <c r="G478" s="910"/>
      <c r="H478" t="s">
        <v>13</v>
      </c>
      <c r="I478" s="48" t="s">
        <v>0</v>
      </c>
      <c r="J478" s="2">
        <f>$F$734</f>
        <v>10</v>
      </c>
      <c r="K478" t="s">
        <v>1</v>
      </c>
      <c r="L478" s="911">
        <v>142</v>
      </c>
      <c r="M478" s="912"/>
      <c r="N478" s="18"/>
      <c r="O478" s="18"/>
      <c r="P478" s="18"/>
      <c r="Q478" s="18"/>
      <c r="R478" s="29" t="s">
        <v>0</v>
      </c>
      <c r="S478" s="25" t="s">
        <v>11</v>
      </c>
      <c r="T478" s="57">
        <f>ROUND(J478*L478,0)</f>
        <v>1420</v>
      </c>
    </row>
    <row r="479" spans="1:20">
      <c r="A479" s="18"/>
      <c r="B479" s="18"/>
      <c r="C479" s="18"/>
      <c r="D479" s="18"/>
      <c r="E479" s="18"/>
      <c r="F479" s="18"/>
      <c r="G479" s="18"/>
      <c r="H479" s="18"/>
      <c r="I479" s="18"/>
      <c r="J479" s="18"/>
      <c r="K479" s="18"/>
      <c r="L479" s="18"/>
      <c r="M479" s="18"/>
      <c r="N479" s="101"/>
      <c r="O479" s="101"/>
      <c r="P479" s="18"/>
      <c r="Q479" s="18"/>
      <c r="R479" s="18"/>
      <c r="S479" s="18"/>
      <c r="T479" s="18"/>
    </row>
    <row r="480" spans="1:20">
      <c r="A480" s="18"/>
      <c r="B480" s="18"/>
      <c r="C480" s="18"/>
      <c r="D480" s="18"/>
      <c r="E480" s="18"/>
      <c r="F480" s="79"/>
      <c r="G480" s="25"/>
      <c r="H480" s="18"/>
      <c r="I480" s="48"/>
      <c r="J480" s="19"/>
      <c r="K480" s="18"/>
      <c r="L480" s="34"/>
      <c r="M480" s="33"/>
      <c r="N480" s="18"/>
      <c r="O480" s="18"/>
      <c r="P480" s="18"/>
      <c r="Q480" s="18"/>
      <c r="R480" s="35"/>
      <c r="S480" s="25"/>
      <c r="T480" s="57"/>
    </row>
    <row r="481" spans="1:20">
      <c r="F481" s="17"/>
      <c r="G481" s="16"/>
      <c r="I481" s="48"/>
      <c r="J481" s="2"/>
      <c r="L481" s="34"/>
      <c r="M481" s="33"/>
      <c r="N481" s="18"/>
      <c r="O481" s="18"/>
      <c r="P481" s="18"/>
      <c r="Q481" s="18"/>
      <c r="R481" s="18"/>
      <c r="S481" s="25"/>
      <c r="T481" s="57"/>
    </row>
    <row r="482" spans="1:20">
      <c r="F482" s="17"/>
      <c r="G482" s="16"/>
      <c r="I482" s="48"/>
      <c r="J482" s="2"/>
      <c r="L482" s="34"/>
      <c r="M482" s="33"/>
      <c r="N482" s="18"/>
      <c r="O482" s="18"/>
      <c r="P482" s="18"/>
      <c r="Q482" s="18"/>
      <c r="R482" s="18"/>
      <c r="S482" s="25"/>
      <c r="T482" s="57"/>
    </row>
    <row r="483" spans="1:20">
      <c r="F483" s="17"/>
      <c r="G483" s="16"/>
      <c r="I483" s="48"/>
      <c r="J483" s="2"/>
      <c r="L483" s="34"/>
      <c r="M483" s="33"/>
      <c r="N483" s="18"/>
      <c r="O483" s="18"/>
      <c r="P483" s="18"/>
      <c r="Q483" s="18"/>
      <c r="R483" s="18"/>
      <c r="S483" s="25"/>
      <c r="T483" s="57"/>
    </row>
    <row r="484" spans="1:20">
      <c r="A484" s="29" t="s">
        <v>70</v>
      </c>
      <c r="B484" t="s">
        <v>71</v>
      </c>
      <c r="F484" s="17"/>
      <c r="G484" s="16"/>
      <c r="I484" s="48"/>
      <c r="J484" s="2"/>
      <c r="L484" s="34"/>
      <c r="M484" s="33"/>
      <c r="N484" s="18"/>
      <c r="O484" s="18"/>
      <c r="P484" s="18"/>
      <c r="Q484" s="18"/>
      <c r="R484" s="18"/>
      <c r="S484" s="25"/>
      <c r="T484" s="57"/>
    </row>
    <row r="485" spans="1:20">
      <c r="B485" t="s">
        <v>72</v>
      </c>
      <c r="F485" s="17"/>
      <c r="G485" s="16"/>
      <c r="I485" s="48" t="s">
        <v>0</v>
      </c>
      <c r="J485" s="891">
        <f>K427*1</f>
        <v>88.1</v>
      </c>
      <c r="K485" s="891"/>
      <c r="L485" s="909" t="s">
        <v>272</v>
      </c>
      <c r="M485" s="909"/>
      <c r="N485" s="18"/>
      <c r="O485" s="18"/>
      <c r="P485" s="18"/>
      <c r="Q485" s="18"/>
      <c r="R485" s="18"/>
      <c r="S485" s="25"/>
      <c r="T485" s="57"/>
    </row>
    <row r="486" spans="1:20" ht="14.25">
      <c r="F486" s="886" t="s">
        <v>332</v>
      </c>
      <c r="G486" s="886"/>
      <c r="H486" s="910">
        <v>121.13</v>
      </c>
      <c r="I486" s="910"/>
      <c r="J486" s="67" t="s">
        <v>303</v>
      </c>
      <c r="L486" s="34"/>
      <c r="M486" s="33"/>
      <c r="N486" s="18"/>
      <c r="O486" s="18"/>
      <c r="P486" s="18"/>
      <c r="Q486" s="18"/>
      <c r="R486" s="29" t="s">
        <v>0</v>
      </c>
      <c r="S486" s="25" t="s">
        <v>11</v>
      </c>
      <c r="T486" s="57">
        <f>ROUND(J485*H486,0)</f>
        <v>10672</v>
      </c>
    </row>
    <row r="487" spans="1:20">
      <c r="F487" s="17"/>
      <c r="G487" s="16"/>
      <c r="I487" s="48"/>
      <c r="J487" s="2"/>
      <c r="L487" s="34"/>
      <c r="M487" s="33"/>
      <c r="N487" s="18"/>
      <c r="O487" s="18"/>
      <c r="P487" s="18"/>
      <c r="Q487" s="18"/>
      <c r="R487" s="18"/>
      <c r="S487" s="25"/>
      <c r="T487" s="57"/>
    </row>
    <row r="488" spans="1:20">
      <c r="B488" t="s">
        <v>74</v>
      </c>
      <c r="F488" s="17"/>
      <c r="G488" s="16"/>
      <c r="I488" s="48" t="s">
        <v>0</v>
      </c>
      <c r="J488" s="891">
        <f>K428*1</f>
        <v>19.38</v>
      </c>
      <c r="K488" s="891"/>
      <c r="L488" s="909" t="s">
        <v>272</v>
      </c>
      <c r="M488" s="909"/>
      <c r="N488" s="18"/>
      <c r="O488" s="18"/>
      <c r="P488" s="18"/>
      <c r="Q488" s="18"/>
      <c r="R488" s="18"/>
      <c r="S488" s="25"/>
      <c r="T488" s="57"/>
    </row>
    <row r="489" spans="1:20" ht="14.25">
      <c r="F489" s="886" t="s">
        <v>332</v>
      </c>
      <c r="G489" s="886"/>
      <c r="H489" s="891">
        <v>35.700000000000003</v>
      </c>
      <c r="I489" s="891"/>
      <c r="J489" s="67" t="s">
        <v>303</v>
      </c>
      <c r="L489" s="34"/>
      <c r="M489" s="33"/>
      <c r="N489" s="18"/>
      <c r="O489" s="18"/>
      <c r="P489" s="18"/>
      <c r="Q489" s="18"/>
      <c r="R489" s="35" t="s">
        <v>0</v>
      </c>
      <c r="S489" s="25" t="s">
        <v>11</v>
      </c>
      <c r="T489" s="57">
        <f>ROUND(J488*H489,0)</f>
        <v>692</v>
      </c>
    </row>
    <row r="490" spans="1:20">
      <c r="F490" s="8"/>
      <c r="G490" s="8"/>
      <c r="H490" s="17"/>
      <c r="I490" s="17"/>
      <c r="J490" s="67"/>
      <c r="L490" s="34"/>
      <c r="M490" s="33"/>
      <c r="N490" s="13"/>
      <c r="O490" s="13"/>
      <c r="P490" s="13"/>
      <c r="Q490" s="13"/>
      <c r="R490" s="32"/>
      <c r="S490" s="23"/>
      <c r="T490" s="27"/>
    </row>
    <row r="491" spans="1:20">
      <c r="O491" s="3"/>
      <c r="P491" s="920" t="s">
        <v>26</v>
      </c>
      <c r="Q491" s="920"/>
      <c r="R491" s="29" t="s">
        <v>0</v>
      </c>
      <c r="S491" s="49" t="s">
        <v>11</v>
      </c>
      <c r="T491" s="28">
        <f>SUM(T467:T490)</f>
        <v>272952</v>
      </c>
    </row>
    <row r="492" spans="1:20">
      <c r="O492" s="3"/>
      <c r="P492" s="118"/>
      <c r="Q492" s="118"/>
      <c r="R492" s="29"/>
      <c r="S492" s="49"/>
      <c r="T492" s="28"/>
    </row>
    <row r="493" spans="1:20">
      <c r="A493" s="130" t="s">
        <v>322</v>
      </c>
      <c r="B493" s="43" t="s">
        <v>320</v>
      </c>
      <c r="C493" s="43"/>
      <c r="D493" s="43"/>
      <c r="E493" s="43"/>
      <c r="F493" s="43"/>
      <c r="G493" s="43"/>
      <c r="H493" s="43"/>
      <c r="I493" s="43"/>
      <c r="J493" s="43"/>
      <c r="K493" s="43"/>
      <c r="L493" s="43"/>
      <c r="M493" s="43"/>
      <c r="N493" s="43"/>
      <c r="O493" s="131"/>
      <c r="P493" s="131"/>
      <c r="Q493" s="136"/>
      <c r="R493" s="35" t="s">
        <v>0</v>
      </c>
      <c r="S493" s="25" t="s">
        <v>11</v>
      </c>
      <c r="T493" s="132">
        <f>ROUND(T491*12.5%,2)</f>
        <v>34119</v>
      </c>
    </row>
    <row r="494" spans="1:20">
      <c r="A494" s="43"/>
      <c r="B494" s="43"/>
      <c r="C494" s="43"/>
      <c r="D494" s="43"/>
      <c r="E494" s="43"/>
      <c r="F494" s="43"/>
      <c r="G494" s="43"/>
      <c r="H494" s="43"/>
      <c r="I494" s="43"/>
      <c r="J494" s="43"/>
      <c r="K494" s="43"/>
      <c r="L494" s="43"/>
      <c r="M494" s="43"/>
      <c r="N494" s="63"/>
      <c r="O494" s="133"/>
      <c r="P494" s="133"/>
      <c r="Q494" s="133"/>
      <c r="R494" s="133"/>
      <c r="S494" s="134"/>
      <c r="T494" s="137"/>
    </row>
    <row r="495" spans="1:20">
      <c r="A495" s="43"/>
      <c r="B495" s="43"/>
      <c r="C495" s="43"/>
      <c r="D495" s="43"/>
      <c r="E495" s="43"/>
      <c r="F495" s="43"/>
      <c r="G495" s="43"/>
      <c r="H495" s="43"/>
      <c r="I495" s="43"/>
      <c r="J495" s="43"/>
      <c r="K495" s="43"/>
      <c r="L495" s="43"/>
      <c r="M495" s="43"/>
      <c r="N495" s="43"/>
      <c r="O495" s="919" t="s">
        <v>321</v>
      </c>
      <c r="P495" s="919"/>
      <c r="Q495" s="131"/>
      <c r="R495" s="35" t="s">
        <v>0</v>
      </c>
      <c r="S495" s="25" t="s">
        <v>11</v>
      </c>
      <c r="T495" s="135">
        <f>SUM(T491:T494)</f>
        <v>307071</v>
      </c>
    </row>
    <row r="496" spans="1:20">
      <c r="D496" s="38"/>
      <c r="E496" s="38"/>
      <c r="F496" s="38"/>
      <c r="G496" s="38"/>
      <c r="H496" s="38"/>
      <c r="I496" s="38"/>
      <c r="J496" s="38"/>
      <c r="L496" s="7"/>
      <c r="N496" s="105"/>
      <c r="O496" s="105"/>
      <c r="P496" s="106"/>
      <c r="Q496" s="107"/>
      <c r="R496" s="107"/>
      <c r="S496" s="3"/>
      <c r="T496" s="3"/>
    </row>
    <row r="497" spans="4:20">
      <c r="D497" s="38"/>
      <c r="E497" s="38"/>
      <c r="F497" s="38"/>
      <c r="G497" s="38"/>
      <c r="H497" s="38"/>
      <c r="I497" s="38"/>
      <c r="J497" s="38"/>
      <c r="L497" s="7"/>
      <c r="N497" s="105"/>
      <c r="O497" s="105"/>
      <c r="P497" s="106"/>
      <c r="Q497" s="107"/>
      <c r="R497" s="107"/>
      <c r="S497" s="3"/>
      <c r="T497" s="3"/>
    </row>
    <row r="498" spans="4:20">
      <c r="D498" s="38"/>
      <c r="E498" s="38"/>
      <c r="F498" s="38"/>
      <c r="G498" s="38"/>
      <c r="H498" s="38"/>
      <c r="I498" s="38"/>
      <c r="J498" s="38"/>
      <c r="L498" s="7"/>
      <c r="N498" s="105"/>
      <c r="O498" s="105"/>
      <c r="P498" s="106"/>
      <c r="Q498" s="107"/>
      <c r="R498" s="107"/>
      <c r="S498" s="3"/>
      <c r="T498" s="3"/>
    </row>
    <row r="499" spans="4:20">
      <c r="D499" s="38"/>
      <c r="E499" s="38"/>
      <c r="F499" s="38"/>
      <c r="G499" s="38"/>
      <c r="H499" s="38"/>
      <c r="I499" s="38"/>
      <c r="J499" s="38"/>
      <c r="L499" s="7"/>
      <c r="N499" s="105"/>
      <c r="O499" s="105"/>
      <c r="P499" s="106"/>
      <c r="Q499" s="107"/>
      <c r="R499" s="107"/>
      <c r="S499" s="3"/>
      <c r="T499" s="3"/>
    </row>
    <row r="500" spans="4:20">
      <c r="D500" s="38"/>
      <c r="E500" s="38"/>
      <c r="F500" s="38"/>
      <c r="G500" s="38"/>
      <c r="H500" s="38"/>
      <c r="I500" s="38"/>
      <c r="J500" s="38"/>
      <c r="L500" s="7"/>
      <c r="N500" s="105"/>
      <c r="O500" s="105"/>
      <c r="P500" s="106"/>
      <c r="Q500" s="107"/>
      <c r="R500" s="107"/>
      <c r="S500" s="3"/>
      <c r="T500" s="3"/>
    </row>
    <row r="501" spans="4:20">
      <c r="D501" s="38"/>
      <c r="E501" s="38"/>
      <c r="F501" s="38"/>
      <c r="G501" s="38"/>
      <c r="H501" s="38"/>
      <c r="I501" s="38"/>
      <c r="J501" s="38"/>
      <c r="L501" s="7"/>
      <c r="N501" s="105"/>
      <c r="O501" s="105"/>
      <c r="P501" s="106"/>
      <c r="Q501" s="107"/>
      <c r="R501" s="107"/>
      <c r="S501" s="3"/>
      <c r="T501" s="3"/>
    </row>
    <row r="502" spans="4:20">
      <c r="D502" s="38"/>
      <c r="E502" s="38"/>
      <c r="F502" s="38"/>
      <c r="G502" s="38"/>
      <c r="H502" s="38"/>
      <c r="I502" s="38"/>
      <c r="J502" s="38"/>
      <c r="L502" s="7"/>
      <c r="N502" s="105"/>
      <c r="O502" s="105"/>
      <c r="P502" s="106"/>
      <c r="Q502" s="107"/>
      <c r="R502" s="107"/>
      <c r="S502" s="3"/>
      <c r="T502" s="3"/>
    </row>
    <row r="503" spans="4:20">
      <c r="D503" s="38"/>
      <c r="E503" s="38"/>
      <c r="F503" s="38"/>
      <c r="G503" s="38"/>
      <c r="H503" s="38"/>
      <c r="I503" s="38"/>
      <c r="J503" s="38"/>
      <c r="L503" s="7"/>
      <c r="N503" s="105"/>
      <c r="O503" s="105"/>
      <c r="P503" s="106"/>
      <c r="Q503" s="107"/>
      <c r="R503" s="107"/>
      <c r="S503" s="3"/>
      <c r="T503" s="3"/>
    </row>
    <row r="504" spans="4:20">
      <c r="D504" s="38"/>
      <c r="E504" s="38"/>
      <c r="F504" s="38"/>
      <c r="G504" s="38"/>
      <c r="H504" s="38"/>
      <c r="I504" s="38"/>
      <c r="J504" s="38"/>
      <c r="L504" s="7"/>
      <c r="N504" s="105"/>
      <c r="O504" s="105"/>
      <c r="P504" s="106"/>
      <c r="Q504" s="107"/>
      <c r="R504" s="107"/>
      <c r="S504" s="3"/>
      <c r="T504" s="3"/>
    </row>
    <row r="505" spans="4:20">
      <c r="D505" s="38"/>
      <c r="E505" s="38"/>
      <c r="F505" s="38"/>
      <c r="G505" s="38"/>
      <c r="H505" s="38"/>
      <c r="I505" s="38"/>
      <c r="J505" s="38"/>
      <c r="L505" s="7"/>
      <c r="N505" s="105"/>
      <c r="O505" s="105"/>
      <c r="P505" s="106"/>
      <c r="Q505" s="107"/>
      <c r="R505" s="107"/>
      <c r="S505" s="3"/>
      <c r="T505" s="3"/>
    </row>
    <row r="506" spans="4:20">
      <c r="Q506" s="3"/>
      <c r="R506" s="3"/>
      <c r="S506" s="3"/>
      <c r="T506" s="3"/>
    </row>
    <row r="507" spans="4:20">
      <c r="Q507" s="3"/>
      <c r="R507" s="3"/>
      <c r="S507" s="3"/>
      <c r="T507" s="3"/>
    </row>
    <row r="508" spans="4:20">
      <c r="Q508" s="3"/>
      <c r="R508" s="3"/>
      <c r="S508" s="3"/>
      <c r="T508" s="3"/>
    </row>
    <row r="509" spans="4:20">
      <c r="Q509" s="3"/>
      <c r="R509" s="3"/>
      <c r="S509" s="3"/>
      <c r="T509" s="3"/>
    </row>
    <row r="510" spans="4:20">
      <c r="Q510" s="3"/>
      <c r="R510" s="3"/>
      <c r="S510" s="3"/>
      <c r="T510" s="3"/>
    </row>
    <row r="511" spans="4:20">
      <c r="Q511" s="3"/>
      <c r="R511" s="3"/>
      <c r="S511" s="3"/>
      <c r="T511" s="3"/>
    </row>
    <row r="515" spans="1:20">
      <c r="B515" s="921" t="s">
        <v>237</v>
      </c>
      <c r="C515" s="921"/>
      <c r="D515" s="921"/>
      <c r="E515" s="921"/>
      <c r="F515" s="921"/>
      <c r="G515" s="921"/>
      <c r="H515" s="921"/>
      <c r="I515" s="921"/>
      <c r="J515" s="921"/>
      <c r="K515" s="921"/>
      <c r="L515" s="921"/>
      <c r="N515" s="921" t="s">
        <v>233</v>
      </c>
      <c r="O515" s="921"/>
      <c r="P515" s="921"/>
      <c r="Q515" s="921"/>
      <c r="R515" s="921"/>
      <c r="S515" s="921"/>
      <c r="T515" s="921"/>
    </row>
    <row r="516" spans="1:20">
      <c r="B516" s="921" t="s">
        <v>235</v>
      </c>
      <c r="C516" s="921"/>
      <c r="D516" s="921"/>
      <c r="E516" s="921"/>
      <c r="F516" s="921"/>
      <c r="G516" s="921"/>
      <c r="H516" s="921"/>
      <c r="I516" s="921"/>
      <c r="J516" s="921"/>
      <c r="K516" s="921"/>
      <c r="L516" s="921"/>
      <c r="N516" s="921" t="s">
        <v>234</v>
      </c>
      <c r="O516" s="921"/>
      <c r="P516" s="921"/>
      <c r="Q516" s="921"/>
      <c r="R516" s="921"/>
      <c r="S516" s="921"/>
      <c r="T516" s="921"/>
    </row>
    <row r="517" spans="1:20">
      <c r="B517" s="921" t="s">
        <v>236</v>
      </c>
      <c r="C517" s="921"/>
      <c r="D517" s="921"/>
      <c r="E517" s="921"/>
      <c r="F517" s="921"/>
      <c r="G517" s="921"/>
      <c r="H517" s="921"/>
      <c r="I517" s="921"/>
      <c r="J517" s="921"/>
      <c r="K517" s="921"/>
      <c r="L517" s="921"/>
      <c r="N517" s="921" t="s">
        <v>232</v>
      </c>
      <c r="O517" s="921"/>
      <c r="P517" s="921"/>
      <c r="Q517" s="921"/>
      <c r="R517" s="921"/>
      <c r="S517" s="921"/>
      <c r="T517" s="921"/>
    </row>
    <row r="523" spans="1:20">
      <c r="P523" s="3" t="s">
        <v>261</v>
      </c>
    </row>
    <row r="524" spans="1:20" ht="15.75" customHeight="1">
      <c r="A524" s="952" t="s">
        <v>255</v>
      </c>
      <c r="B524" s="952"/>
      <c r="C524" s="952"/>
      <c r="D524" s="952"/>
      <c r="E524" s="952"/>
      <c r="F524" s="952"/>
      <c r="G524" s="952"/>
      <c r="H524" s="952"/>
      <c r="I524" s="952"/>
      <c r="J524" s="952"/>
      <c r="K524" s="952"/>
      <c r="L524" s="952"/>
      <c r="M524" s="952"/>
      <c r="N524" s="952"/>
      <c r="O524" s="952"/>
      <c r="P524" s="952"/>
      <c r="Q524" s="952"/>
      <c r="R524" s="952"/>
      <c r="S524" s="952"/>
      <c r="T524" s="952"/>
    </row>
    <row r="525" spans="1:20" ht="15" customHeight="1">
      <c r="A525" s="59"/>
      <c r="B525" s="59"/>
      <c r="C525" s="59"/>
      <c r="D525" s="59"/>
      <c r="G525" s="952" t="s">
        <v>80</v>
      </c>
      <c r="H525" s="952"/>
      <c r="I525" s="952"/>
      <c r="J525" s="952"/>
      <c r="K525" s="110"/>
      <c r="L525" s="110"/>
      <c r="M525" s="952" t="s">
        <v>79</v>
      </c>
      <c r="N525" s="952"/>
      <c r="O525" s="952"/>
      <c r="P525" s="952"/>
      <c r="Q525" s="59"/>
      <c r="R525" s="59"/>
      <c r="S525" s="59"/>
      <c r="T525" s="59"/>
    </row>
    <row r="526" spans="1:20" ht="40.5" customHeight="1">
      <c r="B526" s="951" t="s">
        <v>259</v>
      </c>
      <c r="C526" s="951"/>
      <c r="D526" s="951"/>
      <c r="E526" s="951"/>
      <c r="F526" s="951"/>
      <c r="G526" s="951"/>
      <c r="H526" s="951"/>
      <c r="I526" s="951"/>
      <c r="J526" s="951"/>
      <c r="K526" s="951"/>
      <c r="L526" s="951"/>
      <c r="M526" s="951"/>
      <c r="N526" s="951"/>
      <c r="O526" s="951"/>
      <c r="P526" s="951"/>
      <c r="Q526" s="951"/>
      <c r="R526" s="951"/>
      <c r="S526" s="951"/>
    </row>
    <row r="528" spans="1:20" ht="68.25" customHeight="1">
      <c r="A528" s="95" t="s">
        <v>278</v>
      </c>
      <c r="B528" s="936" t="s">
        <v>30</v>
      </c>
      <c r="C528" s="936"/>
      <c r="D528" s="936"/>
      <c r="E528" s="936"/>
      <c r="F528" s="936"/>
      <c r="G528" s="936"/>
      <c r="H528" s="936"/>
      <c r="I528" s="936"/>
      <c r="J528" s="936"/>
      <c r="K528" s="936"/>
      <c r="L528" s="936"/>
      <c r="M528" s="936"/>
      <c r="N528" s="936"/>
      <c r="O528" s="936"/>
      <c r="P528" s="936"/>
      <c r="Q528" s="936"/>
    </row>
    <row r="529" spans="1:20" ht="15.75" customHeight="1">
      <c r="A529" s="52"/>
      <c r="B529" s="908" t="s">
        <v>47</v>
      </c>
      <c r="C529" s="908"/>
      <c r="D529" s="908"/>
      <c r="E529" s="908"/>
      <c r="F529" s="908"/>
      <c r="G529" s="908"/>
      <c r="H529" s="908"/>
      <c r="I529" s="908"/>
      <c r="J529" s="908"/>
      <c r="K529" s="908"/>
      <c r="L529" s="908"/>
      <c r="M529" s="908"/>
      <c r="N529" s="908"/>
      <c r="O529" s="908"/>
      <c r="P529" s="908"/>
      <c r="Q529" s="908"/>
    </row>
    <row r="530" spans="1:20" ht="15" customHeight="1">
      <c r="A530" s="42"/>
      <c r="B530" s="908" t="s">
        <v>31</v>
      </c>
      <c r="C530" s="908"/>
      <c r="D530" s="908"/>
      <c r="E530" s="908"/>
      <c r="F530" s="908"/>
      <c r="G530" s="908"/>
      <c r="H530" s="908"/>
      <c r="I530" s="908"/>
      <c r="J530" s="908"/>
      <c r="K530" s="908"/>
      <c r="L530" s="908"/>
      <c r="M530" s="908"/>
      <c r="N530" s="908"/>
      <c r="O530" s="908"/>
      <c r="P530" s="908"/>
      <c r="Q530" s="908"/>
    </row>
    <row r="531" spans="1:20" ht="14.25">
      <c r="B531" s="5" t="s">
        <v>3</v>
      </c>
      <c r="C531" s="29" t="s">
        <v>0</v>
      </c>
      <c r="D531" s="20">
        <v>1</v>
      </c>
      <c r="E531" s="20" t="s">
        <v>1</v>
      </c>
      <c r="F531" s="7">
        <v>3</v>
      </c>
      <c r="G531" s="20" t="s">
        <v>1</v>
      </c>
      <c r="H531" s="7">
        <v>1.6</v>
      </c>
      <c r="I531" s="20" t="s">
        <v>1</v>
      </c>
      <c r="J531" s="7">
        <v>2.95</v>
      </c>
      <c r="K531" s="20"/>
      <c r="L531" s="20"/>
      <c r="M531" s="20"/>
      <c r="N531" s="20"/>
      <c r="O531" s="29" t="s">
        <v>0</v>
      </c>
      <c r="P531" s="2">
        <f>ROUND(D531*F531*H531*J531,2)</f>
        <v>14.16</v>
      </c>
      <c r="Q531" t="s">
        <v>7</v>
      </c>
    </row>
    <row r="532" spans="1:20">
      <c r="B532" s="949" t="s">
        <v>2</v>
      </c>
      <c r="C532" s="903" t="s">
        <v>0</v>
      </c>
      <c r="D532" s="892">
        <v>1</v>
      </c>
      <c r="E532" s="892" t="s">
        <v>1</v>
      </c>
      <c r="F532" s="893">
        <v>6.4</v>
      </c>
      <c r="G532" s="892" t="s">
        <v>1</v>
      </c>
      <c r="H532" s="893">
        <v>2.2999999999999998</v>
      </c>
      <c r="I532" s="892" t="s">
        <v>1</v>
      </c>
      <c r="J532" s="31">
        <v>4.05</v>
      </c>
      <c r="K532" s="32" t="s">
        <v>14</v>
      </c>
      <c r="L532" s="31">
        <v>5.5</v>
      </c>
      <c r="M532" s="20"/>
      <c r="N532" s="7"/>
      <c r="O532" s="903" t="s">
        <v>0</v>
      </c>
      <c r="P532" s="953">
        <f>ROUND((D532*F532*H532*(J532+L532)/2),2)</f>
        <v>70.290000000000006</v>
      </c>
      <c r="Q532" s="892" t="s">
        <v>7</v>
      </c>
    </row>
    <row r="533" spans="1:20">
      <c r="B533" s="949"/>
      <c r="C533" s="903"/>
      <c r="D533" s="892"/>
      <c r="E533" s="892"/>
      <c r="F533" s="893"/>
      <c r="G533" s="892"/>
      <c r="H533" s="893"/>
      <c r="I533" s="892"/>
      <c r="J533" s="7"/>
      <c r="K533" s="29">
        <v>2</v>
      </c>
      <c r="L533" s="20"/>
      <c r="M533" s="20"/>
      <c r="N533" s="7"/>
      <c r="O533" s="903"/>
      <c r="P533" s="953"/>
      <c r="Q533" s="892"/>
    </row>
    <row r="534" spans="1:20" ht="14.25">
      <c r="B534" s="6" t="s">
        <v>4</v>
      </c>
      <c r="C534" s="29" t="s">
        <v>0</v>
      </c>
      <c r="D534" s="20">
        <v>1</v>
      </c>
      <c r="E534" s="20" t="s">
        <v>1</v>
      </c>
      <c r="F534" s="7">
        <v>1.65</v>
      </c>
      <c r="G534" s="20" t="s">
        <v>1</v>
      </c>
      <c r="H534" s="7">
        <v>2.1</v>
      </c>
      <c r="I534" s="20" t="s">
        <v>1</v>
      </c>
      <c r="J534" s="7">
        <v>2.13</v>
      </c>
      <c r="K534" s="20"/>
      <c r="L534" s="20"/>
      <c r="M534" s="20"/>
      <c r="N534" s="7"/>
      <c r="O534" s="29" t="s">
        <v>0</v>
      </c>
      <c r="P534" s="2">
        <f>ROUND(D534*F534*H534*J534,2)</f>
        <v>7.38</v>
      </c>
      <c r="Q534" t="s">
        <v>7</v>
      </c>
    </row>
    <row r="535" spans="1:20" ht="14.25">
      <c r="B535" s="6" t="s">
        <v>5</v>
      </c>
      <c r="C535" s="152" t="s">
        <v>0</v>
      </c>
      <c r="D535" s="150">
        <v>1</v>
      </c>
      <c r="E535" s="150" t="s">
        <v>1</v>
      </c>
      <c r="F535" s="149">
        <v>6.42</v>
      </c>
      <c r="G535" s="150" t="s">
        <v>1</v>
      </c>
      <c r="H535" s="149">
        <v>1.8</v>
      </c>
      <c r="I535" s="150" t="s">
        <v>1</v>
      </c>
      <c r="J535" s="149">
        <v>2.13</v>
      </c>
      <c r="K535" s="20"/>
      <c r="L535" s="20"/>
      <c r="M535" s="20"/>
      <c r="N535" s="7"/>
      <c r="O535" s="29" t="s">
        <v>0</v>
      </c>
      <c r="P535" s="2">
        <f>ROUND(D535*F535*H535*J535,2)</f>
        <v>24.61</v>
      </c>
      <c r="Q535" t="s">
        <v>7</v>
      </c>
    </row>
    <row r="536" spans="1:20" ht="14.25">
      <c r="B536" s="6" t="s">
        <v>6</v>
      </c>
      <c r="C536" s="29" t="s">
        <v>0</v>
      </c>
      <c r="D536" s="20">
        <v>1</v>
      </c>
      <c r="E536" s="20" t="s">
        <v>1</v>
      </c>
      <c r="F536" s="7">
        <v>3</v>
      </c>
      <c r="G536" s="20" t="s">
        <v>1</v>
      </c>
      <c r="H536" s="7">
        <v>3</v>
      </c>
      <c r="I536" s="20" t="s">
        <v>1</v>
      </c>
      <c r="J536" s="7">
        <v>0.25</v>
      </c>
      <c r="K536" s="33"/>
      <c r="L536" s="33"/>
      <c r="M536" s="30"/>
      <c r="N536" s="31"/>
      <c r="O536" s="32" t="s">
        <v>0</v>
      </c>
      <c r="P536" s="12">
        <f>ROUND(D536*F536*H536*J536,2)</f>
        <v>2.25</v>
      </c>
      <c r="Q536" s="13" t="s">
        <v>7</v>
      </c>
    </row>
    <row r="537" spans="1:20" ht="14.25">
      <c r="C537" s="1"/>
      <c r="F537" s="2"/>
      <c r="H537" s="2"/>
      <c r="I537" s="1"/>
      <c r="J537" s="2"/>
      <c r="N537" s="7" t="s">
        <v>8</v>
      </c>
      <c r="O537" s="1" t="s">
        <v>0</v>
      </c>
      <c r="P537" s="2">
        <f>SUM(P531:P536)</f>
        <v>118.69</v>
      </c>
      <c r="Q537" t="s">
        <v>7</v>
      </c>
    </row>
    <row r="538" spans="1:20" ht="14.25">
      <c r="B538" s="43"/>
      <c r="C538" s="1"/>
      <c r="F538" s="2"/>
      <c r="H538" s="7"/>
      <c r="I538" s="7"/>
      <c r="J538" s="886" t="s">
        <v>9</v>
      </c>
      <c r="K538" s="886"/>
      <c r="L538" s="891">
        <v>56</v>
      </c>
      <c r="M538" s="891"/>
      <c r="N538" s="906" t="s">
        <v>10</v>
      </c>
      <c r="O538" s="907"/>
      <c r="P538" s="2"/>
      <c r="R538" s="29" t="s">
        <v>0</v>
      </c>
      <c r="S538" s="16" t="s">
        <v>11</v>
      </c>
      <c r="T538" s="11">
        <f>ROUND(P537*L538,0)</f>
        <v>6647</v>
      </c>
    </row>
    <row r="539" spans="1:20">
      <c r="B539" s="43"/>
      <c r="C539" s="1"/>
      <c r="F539" s="2"/>
      <c r="H539" s="7"/>
      <c r="I539" s="7"/>
      <c r="J539" s="8"/>
      <c r="K539" s="8"/>
      <c r="L539" s="17"/>
      <c r="M539" s="17"/>
      <c r="N539" s="9"/>
      <c r="O539" s="10"/>
      <c r="P539" s="2"/>
      <c r="R539" s="29"/>
      <c r="S539" s="16"/>
      <c r="T539" s="11"/>
    </row>
    <row r="540" spans="1:20">
      <c r="C540" s="1"/>
      <c r="F540" s="2"/>
      <c r="P540" s="2"/>
    </row>
    <row r="541" spans="1:20">
      <c r="C541" s="1"/>
      <c r="F541" s="2"/>
      <c r="H541" s="7"/>
      <c r="I541" s="7"/>
      <c r="J541" s="2"/>
      <c r="K541" s="9"/>
      <c r="L541" s="9"/>
      <c r="M541" s="9"/>
      <c r="N541" s="10"/>
      <c r="O541" s="1"/>
      <c r="P541" s="2"/>
    </row>
    <row r="542" spans="1:20" ht="25.5">
      <c r="A542" s="95" t="s">
        <v>280</v>
      </c>
      <c r="B542" s="908" t="s">
        <v>33</v>
      </c>
      <c r="C542" s="908"/>
      <c r="D542" s="908"/>
      <c r="E542" s="908"/>
      <c r="F542" s="908"/>
      <c r="G542" s="908"/>
      <c r="H542" s="908"/>
      <c r="I542" s="908"/>
      <c r="J542" s="908"/>
      <c r="K542" s="908"/>
      <c r="L542" s="908"/>
      <c r="M542" s="908"/>
      <c r="N542" s="908"/>
      <c r="O542" s="908"/>
      <c r="P542" s="908"/>
      <c r="Q542" s="908"/>
    </row>
    <row r="543" spans="1:20">
      <c r="B543" s="5"/>
      <c r="C543" s="29"/>
      <c r="D543" s="20"/>
      <c r="E543" s="20"/>
      <c r="F543" s="7"/>
      <c r="G543" s="20"/>
      <c r="H543" s="7"/>
      <c r="I543" s="20"/>
      <c r="J543" s="7"/>
      <c r="K543" s="20"/>
      <c r="L543" s="20"/>
      <c r="M543" s="20"/>
      <c r="N543" s="20"/>
      <c r="O543" s="29"/>
      <c r="P543" s="2"/>
    </row>
    <row r="544" spans="1:20">
      <c r="B544" s="899" t="s">
        <v>5</v>
      </c>
      <c r="C544" s="900" t="s">
        <v>0</v>
      </c>
      <c r="D544" s="901">
        <v>1</v>
      </c>
      <c r="E544" s="901" t="s">
        <v>1</v>
      </c>
      <c r="F544" s="147">
        <v>7.86</v>
      </c>
      <c r="G544" s="148" t="s">
        <v>14</v>
      </c>
      <c r="H544" s="147">
        <v>7.74</v>
      </c>
      <c r="I544" s="901" t="s">
        <v>1</v>
      </c>
      <c r="J544" s="916">
        <v>1.8</v>
      </c>
      <c r="K544" s="901" t="s">
        <v>1</v>
      </c>
      <c r="L544" s="916">
        <v>0.25</v>
      </c>
      <c r="M544" s="33"/>
      <c r="N544" s="34"/>
      <c r="O544" s="937" t="s">
        <v>0</v>
      </c>
      <c r="P544" s="939">
        <f>ROUND((L544*J544*D544)*(F544+H544)/2,2)</f>
        <v>3.51</v>
      </c>
      <c r="Q544" s="948" t="s">
        <v>7</v>
      </c>
    </row>
    <row r="545" spans="1:20">
      <c r="B545" s="899"/>
      <c r="C545" s="900"/>
      <c r="D545" s="901"/>
      <c r="E545" s="901"/>
      <c r="F545" s="151"/>
      <c r="G545" s="151">
        <v>2</v>
      </c>
      <c r="H545" s="151"/>
      <c r="I545" s="901"/>
      <c r="J545" s="916"/>
      <c r="K545" s="901"/>
      <c r="L545" s="916"/>
      <c r="O545" s="937"/>
      <c r="P545" s="939"/>
      <c r="Q545" s="948"/>
    </row>
    <row r="546" spans="1:20" ht="14.25">
      <c r="B546" s="6" t="s">
        <v>4</v>
      </c>
      <c r="C546" s="29" t="s">
        <v>0</v>
      </c>
      <c r="D546" s="20">
        <v>1</v>
      </c>
      <c r="E546" s="20" t="s">
        <v>1</v>
      </c>
      <c r="F546" s="7">
        <v>1.2</v>
      </c>
      <c r="G546" s="20" t="s">
        <v>1</v>
      </c>
      <c r="H546" s="7">
        <v>1.4</v>
      </c>
      <c r="I546" s="20" t="s">
        <v>1</v>
      </c>
      <c r="J546" s="7">
        <v>0.25</v>
      </c>
      <c r="K546" s="33"/>
      <c r="L546" s="33"/>
      <c r="M546" s="33"/>
      <c r="N546" s="34"/>
      <c r="O546" s="35" t="s">
        <v>0</v>
      </c>
      <c r="P546" s="2">
        <f>ROUND(D546*F546*H546*J546,2)</f>
        <v>0.42</v>
      </c>
      <c r="Q546" s="18" t="s">
        <v>7</v>
      </c>
    </row>
    <row r="547" spans="1:20" ht="14.25">
      <c r="B547" s="6" t="s">
        <v>6</v>
      </c>
      <c r="C547" s="29" t="s">
        <v>0</v>
      </c>
      <c r="D547" s="20">
        <v>1</v>
      </c>
      <c r="E547" s="20" t="s">
        <v>1</v>
      </c>
      <c r="F547" s="7">
        <v>3</v>
      </c>
      <c r="G547" s="20" t="s">
        <v>1</v>
      </c>
      <c r="H547" s="7">
        <v>3</v>
      </c>
      <c r="I547" s="20" t="s">
        <v>1</v>
      </c>
      <c r="J547" s="7">
        <v>0.25</v>
      </c>
      <c r="K547" s="33"/>
      <c r="L547" s="33"/>
      <c r="M547" s="30"/>
      <c r="N547" s="31"/>
      <c r="O547" s="32" t="s">
        <v>0</v>
      </c>
      <c r="P547" s="12">
        <f>ROUND(D547*F547*H547*J547,2)</f>
        <v>2.25</v>
      </c>
      <c r="Q547" s="13" t="s">
        <v>7</v>
      </c>
    </row>
    <row r="548" spans="1:20" ht="14.25">
      <c r="N548" s="7" t="s">
        <v>8</v>
      </c>
      <c r="O548" s="1" t="s">
        <v>0</v>
      </c>
      <c r="P548" s="2">
        <f>SUM(P543:P547)</f>
        <v>6.18</v>
      </c>
      <c r="Q548" t="s">
        <v>7</v>
      </c>
    </row>
    <row r="549" spans="1:20" ht="14.25">
      <c r="J549" s="886" t="s">
        <v>9</v>
      </c>
      <c r="K549" s="886"/>
      <c r="L549" s="891">
        <v>705</v>
      </c>
      <c r="M549" s="891"/>
      <c r="N549" s="906" t="s">
        <v>10</v>
      </c>
      <c r="O549" s="907"/>
      <c r="P549" s="2"/>
      <c r="R549" s="29" t="s">
        <v>0</v>
      </c>
      <c r="S549" s="16" t="s">
        <v>11</v>
      </c>
      <c r="T549" s="11">
        <f>ROUND(P548*L549,0)</f>
        <v>4357</v>
      </c>
    </row>
    <row r="550" spans="1:20">
      <c r="H550" s="8"/>
      <c r="I550" s="8"/>
      <c r="L550" s="17"/>
      <c r="M550" s="17"/>
      <c r="N550" s="9"/>
      <c r="O550" s="10"/>
      <c r="P550" s="2"/>
      <c r="T550" s="11"/>
    </row>
    <row r="551" spans="1:20">
      <c r="H551" s="8"/>
      <c r="I551" s="8"/>
      <c r="L551" s="17"/>
      <c r="M551" s="17"/>
      <c r="N551" s="9"/>
      <c r="O551" s="10"/>
      <c r="P551" s="2"/>
      <c r="T551" s="11"/>
    </row>
    <row r="552" spans="1:20">
      <c r="H552" s="8"/>
      <c r="I552" s="8"/>
      <c r="J552" s="17"/>
      <c r="K552" s="17"/>
      <c r="L552" s="17"/>
      <c r="M552" s="17"/>
      <c r="N552" s="9"/>
      <c r="O552" s="10"/>
      <c r="P552" s="2"/>
      <c r="T552" s="11"/>
    </row>
    <row r="553" spans="1:20" ht="40.5" customHeight="1">
      <c r="A553" s="95" t="s">
        <v>281</v>
      </c>
      <c r="B553" s="936" t="s">
        <v>34</v>
      </c>
      <c r="C553" s="936"/>
      <c r="D553" s="936"/>
      <c r="E553" s="936"/>
      <c r="F553" s="936"/>
      <c r="G553" s="936"/>
      <c r="H553" s="936"/>
      <c r="I553" s="936"/>
      <c r="J553" s="936"/>
      <c r="K553" s="936"/>
      <c r="L553" s="936"/>
      <c r="M553" s="936"/>
      <c r="N553" s="936"/>
      <c r="O553" s="936"/>
      <c r="P553" s="936"/>
      <c r="Q553" s="936"/>
    </row>
    <row r="554" spans="1:20" ht="14.25">
      <c r="B554" s="5" t="s">
        <v>3</v>
      </c>
      <c r="C554" s="29" t="s">
        <v>0</v>
      </c>
      <c r="D554" s="20">
        <v>1</v>
      </c>
      <c r="E554" s="20" t="s">
        <v>1</v>
      </c>
      <c r="F554" s="7">
        <v>3</v>
      </c>
      <c r="G554" s="20" t="s">
        <v>1</v>
      </c>
      <c r="H554" s="7">
        <v>1.6</v>
      </c>
      <c r="I554" s="20" t="s">
        <v>1</v>
      </c>
      <c r="J554" s="7">
        <v>0.15</v>
      </c>
      <c r="K554" s="20"/>
      <c r="L554" s="20"/>
      <c r="M554" s="20"/>
      <c r="N554" s="20"/>
      <c r="O554" s="29" t="s">
        <v>0</v>
      </c>
      <c r="P554" s="2">
        <f>ROUND(D554*F554*H554*J554,2)</f>
        <v>0.72</v>
      </c>
      <c r="Q554" t="s">
        <v>7</v>
      </c>
    </row>
    <row r="555" spans="1:20" ht="14.25">
      <c r="B555" s="5" t="s">
        <v>2</v>
      </c>
      <c r="C555" s="29" t="s">
        <v>0</v>
      </c>
      <c r="D555" s="20">
        <v>1</v>
      </c>
      <c r="E555" s="20" t="s">
        <v>1</v>
      </c>
      <c r="F555" s="7">
        <v>6.4</v>
      </c>
      <c r="G555" s="20" t="s">
        <v>1</v>
      </c>
      <c r="H555" s="7">
        <v>2.2799999999999998</v>
      </c>
      <c r="I555" s="20" t="s">
        <v>1</v>
      </c>
      <c r="J555" s="7">
        <v>0.15</v>
      </c>
      <c r="K555" s="20"/>
      <c r="L555" s="20"/>
      <c r="M555" s="20"/>
      <c r="N555" s="7"/>
      <c r="O555" s="29" t="s">
        <v>0</v>
      </c>
      <c r="P555" s="2">
        <f>ROUND(D555*F555*H555*J555,2)</f>
        <v>2.19</v>
      </c>
      <c r="Q555" t="s">
        <v>7</v>
      </c>
    </row>
    <row r="556" spans="1:20" ht="14.25">
      <c r="B556" s="6" t="s">
        <v>4</v>
      </c>
      <c r="C556" s="29" t="s">
        <v>0</v>
      </c>
      <c r="D556" s="20">
        <v>1</v>
      </c>
      <c r="E556" s="20" t="s">
        <v>1</v>
      </c>
      <c r="F556" s="7">
        <v>1.2</v>
      </c>
      <c r="G556" s="20" t="s">
        <v>1</v>
      </c>
      <c r="H556" s="7">
        <v>1.2</v>
      </c>
      <c r="I556" s="20" t="s">
        <v>1</v>
      </c>
      <c r="J556" s="7">
        <v>0.15</v>
      </c>
      <c r="K556" s="20"/>
      <c r="L556" s="20"/>
      <c r="M556" s="30"/>
      <c r="N556" s="31"/>
      <c r="O556" s="32" t="s">
        <v>0</v>
      </c>
      <c r="P556" s="12">
        <f>ROUND(D556*F556*H556*J556,2)</f>
        <v>0.22</v>
      </c>
      <c r="Q556" s="13" t="s">
        <v>7</v>
      </c>
    </row>
    <row r="557" spans="1:20" ht="14.25">
      <c r="D557" s="15"/>
      <c r="E557" s="15"/>
      <c r="F557" s="15"/>
      <c r="G557" s="15"/>
      <c r="K557" s="15"/>
      <c r="L557" s="15"/>
      <c r="M557" s="15"/>
      <c r="N557" s="7" t="s">
        <v>8</v>
      </c>
      <c r="O557" s="1" t="s">
        <v>0</v>
      </c>
      <c r="P557" s="2">
        <f>SUM(P554:P556)</f>
        <v>3.1300000000000003</v>
      </c>
      <c r="Q557" t="s">
        <v>7</v>
      </c>
    </row>
    <row r="558" spans="1:20" ht="14.25">
      <c r="G558" s="891" t="s">
        <v>21</v>
      </c>
      <c r="H558" s="890"/>
      <c r="I558" s="891">
        <v>3133</v>
      </c>
      <c r="J558" s="891"/>
      <c r="K558" s="891"/>
      <c r="L558" s="906" t="s">
        <v>10</v>
      </c>
      <c r="M558" s="907"/>
      <c r="P558" s="2"/>
      <c r="R558" s="29" t="s">
        <v>0</v>
      </c>
      <c r="S558" s="16" t="s">
        <v>11</v>
      </c>
      <c r="T558" s="11">
        <f>ROUND(P557*I558,0)</f>
        <v>9806</v>
      </c>
    </row>
    <row r="559" spans="1:20">
      <c r="H559" s="8"/>
      <c r="I559" s="8"/>
      <c r="J559" s="17"/>
      <c r="K559" s="17"/>
      <c r="L559" s="17"/>
      <c r="M559" s="17"/>
      <c r="N559" s="9"/>
      <c r="O559" s="10"/>
      <c r="P559" s="2"/>
      <c r="T559" s="11"/>
    </row>
    <row r="560" spans="1:20">
      <c r="H560" s="8"/>
      <c r="I560" s="8"/>
      <c r="J560" s="17"/>
      <c r="K560" s="17"/>
      <c r="L560" s="17"/>
      <c r="M560" s="17"/>
      <c r="N560" s="9"/>
      <c r="O560" s="10"/>
      <c r="P560" s="12"/>
      <c r="Q560" s="13"/>
      <c r="R560" s="13"/>
      <c r="S560" s="13"/>
      <c r="T560" s="27"/>
    </row>
    <row r="561" spans="1:20">
      <c r="P561" s="950" t="s">
        <v>29</v>
      </c>
      <c r="Q561" s="950"/>
      <c r="R561" s="50" t="s">
        <v>0</v>
      </c>
      <c r="S561" s="49" t="s">
        <v>11</v>
      </c>
      <c r="T561" s="28">
        <f>SUM(T538:T560)</f>
        <v>20810</v>
      </c>
    </row>
    <row r="562" spans="1:20">
      <c r="P562" s="58"/>
      <c r="Q562" s="58"/>
      <c r="R562" s="50"/>
      <c r="S562" s="49"/>
      <c r="T562" s="28"/>
    </row>
    <row r="563" spans="1:20">
      <c r="P563" s="58"/>
      <c r="Q563" s="58"/>
      <c r="R563" s="50"/>
      <c r="S563" s="49"/>
      <c r="T563" s="28"/>
    </row>
    <row r="564" spans="1:20">
      <c r="P564" s="58"/>
      <c r="Q564" s="58"/>
      <c r="R564" s="50"/>
      <c r="S564" s="49"/>
      <c r="T564" s="28"/>
    </row>
    <row r="565" spans="1:20">
      <c r="P565" s="58"/>
      <c r="Q565" s="58"/>
      <c r="R565" s="50"/>
      <c r="S565" s="49"/>
      <c r="T565" s="28"/>
    </row>
    <row r="566" spans="1:20">
      <c r="R566" s="20"/>
    </row>
    <row r="567" spans="1:20">
      <c r="P567" s="895" t="s">
        <v>25</v>
      </c>
      <c r="Q567" s="895"/>
      <c r="R567" s="50" t="s">
        <v>0</v>
      </c>
      <c r="S567" s="49" t="s">
        <v>11</v>
      </c>
      <c r="T567" s="28">
        <f>T561*1</f>
        <v>20810</v>
      </c>
    </row>
    <row r="568" spans="1:20" ht="38.25">
      <c r="A568" s="95" t="s">
        <v>282</v>
      </c>
      <c r="B568" s="908" t="s">
        <v>35</v>
      </c>
      <c r="C568" s="908"/>
      <c r="D568" s="908"/>
      <c r="E568" s="908"/>
      <c r="F568" s="908"/>
      <c r="G568" s="908"/>
      <c r="H568" s="908"/>
      <c r="I568" s="908"/>
      <c r="J568" s="908"/>
      <c r="K568" s="908"/>
      <c r="L568" s="908"/>
      <c r="M568" s="908"/>
      <c r="N568" s="908"/>
      <c r="O568" s="908"/>
      <c r="P568" s="908"/>
      <c r="Q568" s="908"/>
    </row>
    <row r="569" spans="1:20">
      <c r="B569" s="949" t="s">
        <v>3</v>
      </c>
      <c r="C569" s="903" t="s">
        <v>0</v>
      </c>
      <c r="D569" s="892">
        <v>1</v>
      </c>
      <c r="E569" s="892" t="s">
        <v>1</v>
      </c>
      <c r="F569" s="893">
        <v>3</v>
      </c>
      <c r="G569" s="892" t="s">
        <v>1</v>
      </c>
      <c r="H569" s="31">
        <v>0.6</v>
      </c>
      <c r="I569" s="32" t="s">
        <v>14</v>
      </c>
      <c r="J569" s="31">
        <v>1.3</v>
      </c>
      <c r="K569" s="892" t="s">
        <v>1</v>
      </c>
      <c r="L569" s="893">
        <v>2.8</v>
      </c>
      <c r="M569" s="38"/>
      <c r="N569" s="40"/>
      <c r="O569" s="903" t="s">
        <v>0</v>
      </c>
      <c r="P569" s="896">
        <f>ROUND((L569*F569*D569*(H569+J569)/2),2)</f>
        <v>7.98</v>
      </c>
      <c r="Q569" s="915" t="s">
        <v>7</v>
      </c>
    </row>
    <row r="570" spans="1:20">
      <c r="B570" s="949"/>
      <c r="C570" s="903"/>
      <c r="D570" s="892"/>
      <c r="E570" s="892"/>
      <c r="F570" s="893"/>
      <c r="G570" s="892"/>
      <c r="H570" s="7"/>
      <c r="I570" s="29">
        <v>2</v>
      </c>
      <c r="J570" s="7"/>
      <c r="K570" s="892"/>
      <c r="L570" s="893"/>
      <c r="M570" s="38"/>
      <c r="N570" s="38"/>
      <c r="O570" s="903"/>
      <c r="P570" s="896"/>
      <c r="Q570" s="915"/>
    </row>
    <row r="571" spans="1:20">
      <c r="B571" s="949" t="s">
        <v>2</v>
      </c>
      <c r="C571" s="903" t="s">
        <v>0</v>
      </c>
      <c r="D571" s="892">
        <v>1</v>
      </c>
      <c r="E571" s="892" t="s">
        <v>1</v>
      </c>
      <c r="F571" s="893">
        <v>6.4</v>
      </c>
      <c r="G571" s="892" t="s">
        <v>1</v>
      </c>
      <c r="H571" s="31">
        <v>0.6</v>
      </c>
      <c r="I571" s="32" t="s">
        <v>14</v>
      </c>
      <c r="J571" s="31">
        <v>1.98</v>
      </c>
      <c r="K571" s="892" t="s">
        <v>1</v>
      </c>
      <c r="L571" s="893">
        <v>4.5</v>
      </c>
      <c r="M571" s="38"/>
      <c r="N571" s="40"/>
      <c r="O571" s="903" t="s">
        <v>0</v>
      </c>
      <c r="P571" s="896">
        <f>ROUND((L571*F571*D571*(H571+J571)/2),2)</f>
        <v>37.15</v>
      </c>
      <c r="Q571" s="915" t="s">
        <v>7</v>
      </c>
    </row>
    <row r="572" spans="1:20">
      <c r="B572" s="949"/>
      <c r="C572" s="903"/>
      <c r="D572" s="892"/>
      <c r="E572" s="892"/>
      <c r="F572" s="893"/>
      <c r="G572" s="892"/>
      <c r="H572" s="7"/>
      <c r="I572" s="29">
        <v>2</v>
      </c>
      <c r="J572" s="7"/>
      <c r="K572" s="892"/>
      <c r="L572" s="893"/>
      <c r="M572" s="38"/>
      <c r="N572" s="38"/>
      <c r="O572" s="903"/>
      <c r="P572" s="896"/>
      <c r="Q572" s="915"/>
    </row>
    <row r="573" spans="1:20" ht="14.25">
      <c r="B573" s="6" t="s">
        <v>4</v>
      </c>
      <c r="C573" s="29" t="s">
        <v>0</v>
      </c>
      <c r="D573" s="20">
        <v>1</v>
      </c>
      <c r="E573" s="20" t="s">
        <v>1</v>
      </c>
      <c r="F573" s="7">
        <v>2.1</v>
      </c>
      <c r="G573" s="20" t="s">
        <v>1</v>
      </c>
      <c r="H573" s="7">
        <v>0.45</v>
      </c>
      <c r="I573" s="20" t="s">
        <v>1</v>
      </c>
      <c r="J573" s="44">
        <v>1.7749999999999999</v>
      </c>
      <c r="K573" s="20"/>
      <c r="L573" s="20"/>
      <c r="M573" s="20"/>
      <c r="N573" s="7"/>
      <c r="O573" s="29" t="s">
        <v>0</v>
      </c>
      <c r="P573" s="2">
        <f>ROUND(D573*F573*H573*J573,2)</f>
        <v>1.68</v>
      </c>
      <c r="Q573" t="s">
        <v>7</v>
      </c>
    </row>
    <row r="574" spans="1:20" ht="14.25">
      <c r="B574" s="6"/>
      <c r="C574" s="29" t="s">
        <v>0</v>
      </c>
      <c r="D574" s="20">
        <v>2</v>
      </c>
      <c r="E574" s="20" t="s">
        <v>1</v>
      </c>
      <c r="F574" s="7">
        <v>1.2</v>
      </c>
      <c r="G574" s="20" t="s">
        <v>1</v>
      </c>
      <c r="H574" s="7">
        <v>0.45</v>
      </c>
      <c r="I574" s="20" t="s">
        <v>1</v>
      </c>
      <c r="J574" s="44">
        <v>1.7749999999999999</v>
      </c>
      <c r="K574" s="20"/>
      <c r="L574" s="20"/>
      <c r="M574" s="20"/>
      <c r="N574" s="7"/>
      <c r="O574" s="29" t="s">
        <v>0</v>
      </c>
      <c r="P574" s="2">
        <f t="shared" ref="P574:P580" si="2">ROUND(D574*F574*H574*J574,2)</f>
        <v>1.92</v>
      </c>
      <c r="Q574" t="s">
        <v>7</v>
      </c>
    </row>
    <row r="575" spans="1:20" ht="14.25">
      <c r="B575" s="6" t="s">
        <v>6</v>
      </c>
      <c r="C575" s="29" t="s">
        <v>0</v>
      </c>
      <c r="D575" s="20">
        <v>1</v>
      </c>
      <c r="E575" s="20" t="s">
        <v>1</v>
      </c>
      <c r="F575" s="7">
        <v>3</v>
      </c>
      <c r="G575" s="20" t="s">
        <v>1</v>
      </c>
      <c r="H575" s="7">
        <v>2.25</v>
      </c>
      <c r="I575" s="20" t="s">
        <v>1</v>
      </c>
      <c r="J575" s="7">
        <v>0.45</v>
      </c>
      <c r="K575" s="33"/>
      <c r="L575" s="33"/>
      <c r="M575" s="33"/>
      <c r="N575" s="34"/>
      <c r="O575" s="35" t="s">
        <v>0</v>
      </c>
      <c r="P575" s="2">
        <f t="shared" si="2"/>
        <v>3.04</v>
      </c>
      <c r="Q575" s="18" t="s">
        <v>7</v>
      </c>
    </row>
    <row r="576" spans="1:20" ht="14.25">
      <c r="B576" s="6"/>
      <c r="C576" s="29" t="s">
        <v>0</v>
      </c>
      <c r="D576" s="20">
        <v>1</v>
      </c>
      <c r="E576" s="20" t="s">
        <v>1</v>
      </c>
      <c r="F576" s="7">
        <v>3</v>
      </c>
      <c r="G576" s="20" t="s">
        <v>1</v>
      </c>
      <c r="H576" s="7">
        <v>1.8</v>
      </c>
      <c r="I576" s="20" t="s">
        <v>1</v>
      </c>
      <c r="J576" s="7">
        <v>0.45</v>
      </c>
      <c r="K576" s="33"/>
      <c r="L576" s="33"/>
      <c r="M576" s="33"/>
      <c r="N576" s="34"/>
      <c r="O576" s="35" t="s">
        <v>0</v>
      </c>
      <c r="P576" s="2">
        <f t="shared" si="2"/>
        <v>2.4300000000000002</v>
      </c>
      <c r="Q576" s="18" t="s">
        <v>7</v>
      </c>
    </row>
    <row r="577" spans="1:20" ht="14.25">
      <c r="B577" s="6"/>
      <c r="C577" s="29" t="s">
        <v>0</v>
      </c>
      <c r="D577" s="20">
        <v>1</v>
      </c>
      <c r="E577" s="20" t="s">
        <v>1</v>
      </c>
      <c r="F577" s="7">
        <v>3</v>
      </c>
      <c r="G577" s="20" t="s">
        <v>1</v>
      </c>
      <c r="H577" s="7">
        <v>1.35</v>
      </c>
      <c r="I577" s="20" t="s">
        <v>1</v>
      </c>
      <c r="J577" s="7">
        <v>0.45</v>
      </c>
      <c r="K577" s="33"/>
      <c r="L577" s="33"/>
      <c r="M577" s="33"/>
      <c r="N577" s="34"/>
      <c r="O577" s="35" t="s">
        <v>0</v>
      </c>
      <c r="P577" s="2">
        <f t="shared" si="2"/>
        <v>1.82</v>
      </c>
      <c r="Q577" s="18" t="s">
        <v>7</v>
      </c>
    </row>
    <row r="578" spans="1:20" ht="14.25">
      <c r="B578" s="6"/>
      <c r="C578" s="29" t="s">
        <v>0</v>
      </c>
      <c r="D578" s="20">
        <v>1</v>
      </c>
      <c r="E578" s="20" t="s">
        <v>1</v>
      </c>
      <c r="F578" s="7">
        <v>3</v>
      </c>
      <c r="G578" s="20" t="s">
        <v>1</v>
      </c>
      <c r="H578" s="7">
        <v>0.9</v>
      </c>
      <c r="I578" s="20" t="s">
        <v>1</v>
      </c>
      <c r="J578" s="7">
        <v>0.45</v>
      </c>
      <c r="K578" s="33"/>
      <c r="L578" s="33"/>
      <c r="M578" s="33"/>
      <c r="N578" s="34"/>
      <c r="O578" s="35" t="s">
        <v>0</v>
      </c>
      <c r="P578" s="2">
        <f t="shared" si="2"/>
        <v>1.22</v>
      </c>
      <c r="Q578" s="18" t="s">
        <v>7</v>
      </c>
    </row>
    <row r="579" spans="1:20" ht="14.25">
      <c r="B579" s="6"/>
      <c r="C579" s="29" t="s">
        <v>0</v>
      </c>
      <c r="D579" s="20">
        <v>1</v>
      </c>
      <c r="E579" s="20" t="s">
        <v>1</v>
      </c>
      <c r="F579" s="7">
        <v>3</v>
      </c>
      <c r="G579" s="20" t="s">
        <v>1</v>
      </c>
      <c r="H579" s="7">
        <v>0.45</v>
      </c>
      <c r="I579" s="20" t="s">
        <v>1</v>
      </c>
      <c r="J579" s="7">
        <v>0.45</v>
      </c>
      <c r="K579" s="33"/>
      <c r="L579" s="33"/>
      <c r="M579" s="33"/>
      <c r="N579" s="34"/>
      <c r="O579" s="35" t="s">
        <v>0</v>
      </c>
      <c r="P579" s="2">
        <f t="shared" si="2"/>
        <v>0.61</v>
      </c>
      <c r="Q579" s="18" t="s">
        <v>7</v>
      </c>
    </row>
    <row r="580" spans="1:20" ht="14.25">
      <c r="B580" s="5" t="s">
        <v>15</v>
      </c>
      <c r="C580" s="29" t="s">
        <v>0</v>
      </c>
      <c r="D580" s="20">
        <v>3</v>
      </c>
      <c r="E580" s="20" t="s">
        <v>1</v>
      </c>
      <c r="F580" s="7">
        <v>3</v>
      </c>
      <c r="G580" s="20" t="s">
        <v>1</v>
      </c>
      <c r="H580" s="7">
        <v>0.6</v>
      </c>
      <c r="I580" s="20" t="s">
        <v>1</v>
      </c>
      <c r="J580" s="7">
        <v>0.6</v>
      </c>
      <c r="K580" s="33"/>
      <c r="L580" s="33"/>
      <c r="M580" s="33"/>
      <c r="N580" s="31"/>
      <c r="O580" s="32" t="s">
        <v>0</v>
      </c>
      <c r="P580" s="12">
        <f t="shared" si="2"/>
        <v>3.24</v>
      </c>
      <c r="Q580" s="13" t="s">
        <v>7</v>
      </c>
    </row>
    <row r="581" spans="1:20" ht="14.25">
      <c r="C581" s="29"/>
      <c r="D581" s="20"/>
      <c r="E581" s="20"/>
      <c r="F581" s="7"/>
      <c r="G581" s="20"/>
      <c r="H581" s="7"/>
      <c r="I581" s="20"/>
      <c r="J581" s="7"/>
      <c r="K581" s="33"/>
      <c r="L581" s="33"/>
      <c r="M581" s="33"/>
      <c r="N581" s="7" t="s">
        <v>8</v>
      </c>
      <c r="O581" s="35" t="s">
        <v>0</v>
      </c>
      <c r="P581" s="19">
        <f>SUM(P569:P580)</f>
        <v>61.089999999999996</v>
      </c>
      <c r="Q581" s="18" t="s">
        <v>7</v>
      </c>
    </row>
    <row r="582" spans="1:20">
      <c r="B582" s="947" t="s">
        <v>12</v>
      </c>
      <c r="C582" s="903" t="s">
        <v>0</v>
      </c>
      <c r="D582" s="892">
        <v>2</v>
      </c>
      <c r="E582" s="892" t="s">
        <v>1</v>
      </c>
      <c r="F582" s="45">
        <v>1.05</v>
      </c>
      <c r="G582" s="46" t="s">
        <v>14</v>
      </c>
      <c r="H582" s="31">
        <v>0.75</v>
      </c>
      <c r="I582" s="892" t="s">
        <v>1</v>
      </c>
      <c r="J582" s="31">
        <v>3.14</v>
      </c>
      <c r="K582" s="892" t="s">
        <v>1</v>
      </c>
      <c r="L582" s="893">
        <v>1.2</v>
      </c>
      <c r="M582" s="941" t="s">
        <v>1</v>
      </c>
      <c r="N582" s="943">
        <v>1.2</v>
      </c>
      <c r="O582" s="937" t="s">
        <v>0</v>
      </c>
      <c r="P582" s="945">
        <f>ROUND((N582*L582*D582*(J582/J583)*(F582+H582)/G583),2)</f>
        <v>2.0299999999999998</v>
      </c>
      <c r="Q582" s="948" t="s">
        <v>7</v>
      </c>
    </row>
    <row r="583" spans="1:20">
      <c r="B583" s="898"/>
      <c r="C583" s="892"/>
      <c r="D583" s="892"/>
      <c r="E583" s="892"/>
      <c r="F583" s="38"/>
      <c r="G583" s="38">
        <v>2</v>
      </c>
      <c r="H583" s="20"/>
      <c r="I583" s="892"/>
      <c r="J583" s="20">
        <v>4</v>
      </c>
      <c r="K583" s="892"/>
      <c r="L583" s="893"/>
      <c r="M583" s="942"/>
      <c r="N583" s="944"/>
      <c r="O583" s="938"/>
      <c r="P583" s="946"/>
      <c r="Q583" s="946"/>
    </row>
    <row r="584" spans="1:20" ht="14.25">
      <c r="C584" s="1"/>
      <c r="F584" s="2"/>
      <c r="H584" s="2"/>
      <c r="I584" s="1"/>
      <c r="J584" s="2"/>
      <c r="L584" t="s">
        <v>68</v>
      </c>
      <c r="N584" s="7"/>
      <c r="O584" s="1" t="s">
        <v>0</v>
      </c>
      <c r="P584" s="2">
        <f>P581-P582</f>
        <v>59.059999999999995</v>
      </c>
      <c r="Q584" t="s">
        <v>7</v>
      </c>
    </row>
    <row r="585" spans="1:20" ht="14.25">
      <c r="C585" s="1"/>
      <c r="F585" s="2"/>
      <c r="I585" s="8"/>
      <c r="J585" s="886" t="s">
        <v>9</v>
      </c>
      <c r="K585" s="886"/>
      <c r="L585" s="891">
        <v>2334</v>
      </c>
      <c r="M585" s="891"/>
      <c r="N585" s="9" t="s">
        <v>10</v>
      </c>
      <c r="O585" s="10"/>
      <c r="P585" s="2"/>
      <c r="R585" s="29" t="s">
        <v>0</v>
      </c>
      <c r="S585" s="16" t="s">
        <v>11</v>
      </c>
      <c r="T585" s="11">
        <f>ROUND(P584*L585,0)</f>
        <v>137846</v>
      </c>
    </row>
    <row r="586" spans="1:20">
      <c r="C586" s="1"/>
      <c r="F586" s="2"/>
      <c r="I586" s="8"/>
      <c r="J586" s="8"/>
      <c r="K586" s="8"/>
      <c r="L586" s="17"/>
      <c r="M586" s="17"/>
      <c r="N586" s="9"/>
      <c r="O586" s="10"/>
      <c r="P586" s="2"/>
      <c r="S586" s="16"/>
      <c r="T586" s="11"/>
    </row>
    <row r="587" spans="1:20">
      <c r="C587" s="1"/>
      <c r="F587" s="2"/>
      <c r="I587" s="8"/>
      <c r="J587" s="8"/>
      <c r="K587" s="8"/>
      <c r="L587" s="17"/>
      <c r="M587" s="17"/>
      <c r="N587" s="9"/>
      <c r="O587" s="10"/>
      <c r="P587" s="2"/>
      <c r="S587" s="16"/>
      <c r="T587" s="11"/>
    </row>
    <row r="588" spans="1:20">
      <c r="C588" s="1"/>
      <c r="F588" s="2"/>
      <c r="I588" s="8"/>
      <c r="J588" s="8"/>
      <c r="K588" s="8"/>
      <c r="L588" s="17"/>
      <c r="M588" s="17"/>
      <c r="N588" s="9"/>
      <c r="O588" s="10"/>
      <c r="P588" s="2"/>
      <c r="S588" s="16"/>
      <c r="T588" s="11"/>
    </row>
    <row r="589" spans="1:20" ht="66.75" customHeight="1">
      <c r="A589" s="95" t="s">
        <v>286</v>
      </c>
      <c r="B589" s="936" t="s">
        <v>36</v>
      </c>
      <c r="C589" s="936"/>
      <c r="D589" s="936"/>
      <c r="E589" s="936"/>
      <c r="F589" s="936"/>
      <c r="G589" s="936"/>
      <c r="H589" s="936"/>
      <c r="I589" s="936"/>
      <c r="J589" s="936"/>
      <c r="K589" s="936"/>
      <c r="L589" s="936"/>
      <c r="M589" s="936"/>
      <c r="N589" s="936"/>
      <c r="O589" s="936"/>
      <c r="P589" s="936"/>
      <c r="Q589" s="936"/>
    </row>
    <row r="590" spans="1:20">
      <c r="A590" s="16" t="s">
        <v>64</v>
      </c>
      <c r="B590" t="s">
        <v>65</v>
      </c>
    </row>
    <row r="591" spans="1:20">
      <c r="E591" s="1" t="s">
        <v>0</v>
      </c>
      <c r="F591">
        <v>4</v>
      </c>
      <c r="G591" t="s">
        <v>1</v>
      </c>
      <c r="H591" s="31">
        <v>2.5</v>
      </c>
      <c r="I591" s="32" t="s">
        <v>0</v>
      </c>
      <c r="J591" s="31">
        <f>F591*H591</f>
        <v>10</v>
      </c>
      <c r="K591" s="13" t="s">
        <v>13</v>
      </c>
      <c r="L591" s="13"/>
    </row>
    <row r="592" spans="1:20">
      <c r="E592" s="1"/>
      <c r="H592" s="7" t="s">
        <v>8</v>
      </c>
      <c r="I592" s="29" t="s">
        <v>0</v>
      </c>
      <c r="J592" s="7">
        <f>SUM(J591:J591)</f>
        <v>10</v>
      </c>
      <c r="K592" t="s">
        <v>13</v>
      </c>
    </row>
    <row r="593" spans="1:20">
      <c r="I593" s="8"/>
      <c r="J593" s="886" t="s">
        <v>9</v>
      </c>
      <c r="K593" s="886"/>
      <c r="L593" s="888">
        <v>9264</v>
      </c>
      <c r="M593" s="888"/>
      <c r="N593" s="9" t="s">
        <v>18</v>
      </c>
      <c r="O593" s="10"/>
      <c r="P593" s="2"/>
      <c r="R593" s="29" t="s">
        <v>0</v>
      </c>
      <c r="S593" s="16" t="s">
        <v>11</v>
      </c>
      <c r="T593" s="11">
        <f>ROUND(J591*L593,0)</f>
        <v>92640</v>
      </c>
    </row>
    <row r="594" spans="1:20">
      <c r="C594" s="1"/>
      <c r="F594" s="2"/>
      <c r="I594" s="8"/>
      <c r="J594" s="8"/>
      <c r="K594" s="8"/>
      <c r="L594" s="17"/>
      <c r="M594" s="17"/>
      <c r="N594" s="9"/>
      <c r="O594" s="10"/>
      <c r="P594" s="2"/>
      <c r="S594" s="16"/>
      <c r="T594" s="11"/>
    </row>
    <row r="595" spans="1:20">
      <c r="C595" s="1"/>
      <c r="F595" s="2"/>
      <c r="I595" s="8"/>
      <c r="J595" s="8"/>
      <c r="K595" s="8"/>
      <c r="L595" s="17"/>
      <c r="M595" s="17"/>
      <c r="N595" s="9"/>
      <c r="O595" s="10"/>
      <c r="P595" s="2"/>
      <c r="S595" s="16"/>
      <c r="T595" s="11"/>
    </row>
    <row r="596" spans="1:20">
      <c r="C596" s="1"/>
      <c r="F596" s="2"/>
      <c r="I596" s="8"/>
      <c r="J596" s="8"/>
      <c r="K596" s="8"/>
      <c r="L596" s="17"/>
      <c r="M596" s="17"/>
      <c r="N596" s="9"/>
      <c r="O596" s="10"/>
      <c r="P596" s="2"/>
      <c r="S596" s="16"/>
      <c r="T596" s="11"/>
    </row>
    <row r="597" spans="1:20" ht="42" customHeight="1">
      <c r="A597" s="95" t="s">
        <v>287</v>
      </c>
      <c r="B597" s="936" t="s">
        <v>37</v>
      </c>
      <c r="C597" s="936"/>
      <c r="D597" s="936"/>
      <c r="E597" s="936"/>
      <c r="F597" s="936"/>
      <c r="G597" s="936"/>
      <c r="H597" s="936"/>
      <c r="I597" s="936"/>
      <c r="J597" s="936"/>
      <c r="K597" s="936"/>
      <c r="L597" s="936"/>
      <c r="M597" s="936"/>
      <c r="N597" s="936"/>
      <c r="O597" s="936"/>
      <c r="P597" s="936"/>
      <c r="Q597" s="936"/>
    </row>
    <row r="598" spans="1:20" ht="13.5" customHeight="1">
      <c r="A598" s="54"/>
      <c r="B598" s="926" t="s">
        <v>38</v>
      </c>
      <c r="C598" s="926"/>
      <c r="D598" s="926"/>
      <c r="E598" s="926"/>
      <c r="F598" s="926"/>
      <c r="G598" s="926"/>
      <c r="H598" s="926"/>
      <c r="I598" s="926"/>
      <c r="J598" s="926"/>
      <c r="K598" s="926"/>
      <c r="L598" s="926"/>
      <c r="M598" s="926"/>
      <c r="N598" s="926"/>
      <c r="O598" s="926"/>
      <c r="P598" s="926"/>
      <c r="Q598" s="926"/>
    </row>
    <row r="599" spans="1:20">
      <c r="A599" s="4"/>
    </row>
    <row r="600" spans="1:20">
      <c r="B600" s="932" t="s">
        <v>66</v>
      </c>
      <c r="C600" s="903" t="s">
        <v>0</v>
      </c>
      <c r="D600" s="892">
        <v>1</v>
      </c>
      <c r="E600" s="892" t="s">
        <v>1</v>
      </c>
      <c r="F600" s="893">
        <v>3</v>
      </c>
      <c r="G600" s="892" t="s">
        <v>1</v>
      </c>
      <c r="H600" s="31">
        <v>0.15</v>
      </c>
      <c r="I600" s="32" t="s">
        <v>14</v>
      </c>
      <c r="J600" s="31">
        <v>0.32</v>
      </c>
      <c r="K600" s="892" t="s">
        <v>1</v>
      </c>
      <c r="L600" s="893">
        <v>0.68</v>
      </c>
      <c r="M600" s="38"/>
      <c r="N600" s="40"/>
      <c r="O600" s="903" t="s">
        <v>0</v>
      </c>
      <c r="P600" s="896">
        <f>ROUND((L600*F600*D600*(H600+J600)/2),2)</f>
        <v>0.48</v>
      </c>
      <c r="Q600" s="915" t="s">
        <v>7</v>
      </c>
    </row>
    <row r="601" spans="1:20">
      <c r="B601" s="933"/>
      <c r="C601" s="903"/>
      <c r="D601" s="892"/>
      <c r="E601" s="892"/>
      <c r="F601" s="893"/>
      <c r="G601" s="892"/>
      <c r="H601" s="7"/>
      <c r="I601" s="29">
        <v>2</v>
      </c>
      <c r="J601" s="7"/>
      <c r="K601" s="892"/>
      <c r="L601" s="893"/>
      <c r="M601" s="38"/>
      <c r="N601" s="38"/>
      <c r="O601" s="903"/>
      <c r="P601" s="896"/>
      <c r="Q601" s="915"/>
    </row>
    <row r="602" spans="1:20" ht="14.25">
      <c r="B602" s="41"/>
      <c r="C602" s="29" t="s">
        <v>0</v>
      </c>
      <c r="D602" s="20">
        <v>1</v>
      </c>
      <c r="E602" s="20" t="s">
        <v>1</v>
      </c>
      <c r="F602" s="7">
        <v>3</v>
      </c>
      <c r="G602" s="20" t="s">
        <v>1</v>
      </c>
      <c r="H602" s="7">
        <v>0.6</v>
      </c>
      <c r="I602" s="20" t="s">
        <v>1</v>
      </c>
      <c r="J602" s="44">
        <v>2.125</v>
      </c>
      <c r="K602" s="20"/>
      <c r="L602" s="20"/>
      <c r="M602" s="20"/>
      <c r="N602" s="20"/>
      <c r="O602" s="1" t="s">
        <v>0</v>
      </c>
      <c r="P602" s="2">
        <f>ROUND(D602*F602*H602*J602,2)</f>
        <v>3.83</v>
      </c>
      <c r="Q602" t="s">
        <v>7</v>
      </c>
    </row>
    <row r="603" spans="1:20">
      <c r="B603" s="5"/>
    </row>
    <row r="604" spans="1:20">
      <c r="B604" s="932" t="s">
        <v>67</v>
      </c>
      <c r="C604" s="903" t="s">
        <v>0</v>
      </c>
      <c r="D604" s="892">
        <v>1</v>
      </c>
      <c r="E604" s="892" t="s">
        <v>1</v>
      </c>
      <c r="F604" s="893">
        <v>6.4</v>
      </c>
      <c r="G604" s="892" t="s">
        <v>1</v>
      </c>
      <c r="H604" s="31">
        <v>0.15</v>
      </c>
      <c r="I604" s="32" t="s">
        <v>14</v>
      </c>
      <c r="J604" s="31">
        <v>0.85</v>
      </c>
      <c r="K604" s="892" t="s">
        <v>1</v>
      </c>
      <c r="L604" s="893">
        <v>3.37</v>
      </c>
      <c r="M604" s="39"/>
      <c r="N604" s="37"/>
      <c r="O604" s="937" t="s">
        <v>0</v>
      </c>
      <c r="P604" s="896">
        <f>ROUND((L604*F604*D604*(H604+J604)/2),2)</f>
        <v>10.78</v>
      </c>
      <c r="Q604" s="934" t="s">
        <v>7</v>
      </c>
      <c r="R604" s="18"/>
    </row>
    <row r="605" spans="1:20">
      <c r="B605" s="933"/>
      <c r="C605" s="903"/>
      <c r="D605" s="892"/>
      <c r="E605" s="892"/>
      <c r="F605" s="893"/>
      <c r="G605" s="892"/>
      <c r="H605" s="7"/>
      <c r="I605" s="29">
        <v>2</v>
      </c>
      <c r="J605" s="7"/>
      <c r="K605" s="892"/>
      <c r="L605" s="893"/>
      <c r="M605" s="39"/>
      <c r="N605" s="39"/>
      <c r="O605" s="937"/>
      <c r="P605" s="896"/>
      <c r="Q605" s="934"/>
      <c r="R605" s="18"/>
      <c r="T605" s="11"/>
    </row>
    <row r="606" spans="1:20" ht="14.25">
      <c r="B606" s="41"/>
      <c r="C606" s="29" t="s">
        <v>0</v>
      </c>
      <c r="D606" s="20">
        <v>1</v>
      </c>
      <c r="E606" s="20" t="s">
        <v>1</v>
      </c>
      <c r="F606" s="7">
        <v>6.4</v>
      </c>
      <c r="G606" s="20" t="s">
        <v>1</v>
      </c>
      <c r="H606" s="7">
        <v>0.6</v>
      </c>
      <c r="I606" s="20" t="s">
        <v>1</v>
      </c>
      <c r="J606" s="44">
        <v>2.125</v>
      </c>
      <c r="K606" s="20"/>
      <c r="L606" s="30"/>
      <c r="M606" s="30"/>
      <c r="N606" s="31"/>
      <c r="O606" s="14" t="s">
        <v>0</v>
      </c>
      <c r="P606" s="12">
        <f>ROUND(D606*F606*H606*J606,2)</f>
        <v>8.16</v>
      </c>
      <c r="Q606" s="13" t="s">
        <v>7</v>
      </c>
      <c r="T606" s="11"/>
    </row>
    <row r="607" spans="1:20" ht="14.25">
      <c r="B607" s="41"/>
      <c r="C607" s="29"/>
      <c r="D607" s="20"/>
      <c r="E607" s="20"/>
      <c r="F607" s="7"/>
      <c r="G607" s="20"/>
      <c r="H607" s="7"/>
      <c r="I607" s="20"/>
      <c r="J607" s="44"/>
      <c r="K607" s="20" t="s">
        <v>75</v>
      </c>
      <c r="L607" s="888" t="s">
        <v>76</v>
      </c>
      <c r="M607" s="888"/>
      <c r="N607" s="888"/>
      <c r="O607" s="1" t="s">
        <v>0</v>
      </c>
      <c r="P607" s="12">
        <f>SUM(P600:P606)</f>
        <v>23.25</v>
      </c>
      <c r="Q607" s="13" t="s">
        <v>7</v>
      </c>
      <c r="R607" s="13"/>
      <c r="S607" s="13"/>
      <c r="T607" s="27"/>
    </row>
    <row r="608" spans="1:20">
      <c r="B608" s="41"/>
      <c r="C608" s="29"/>
      <c r="D608" s="20"/>
      <c r="E608" s="20"/>
      <c r="F608" s="7"/>
      <c r="G608" s="20"/>
      <c r="H608" s="7"/>
      <c r="I608" s="20"/>
      <c r="J608" s="44"/>
      <c r="K608" s="20"/>
      <c r="L608" s="20"/>
      <c r="M608" s="20"/>
      <c r="N608" s="7"/>
      <c r="O608" s="10"/>
      <c r="P608" s="894" t="s">
        <v>24</v>
      </c>
      <c r="Q608" s="894"/>
      <c r="R608" s="50" t="s">
        <v>0</v>
      </c>
      <c r="S608" s="49" t="s">
        <v>11</v>
      </c>
      <c r="T608" s="26">
        <f>SUM(T567:T607)</f>
        <v>251296</v>
      </c>
    </row>
    <row r="609" spans="1:20">
      <c r="B609" s="41"/>
      <c r="C609" s="29"/>
      <c r="D609" s="20"/>
      <c r="E609" s="20"/>
      <c r="F609" s="7"/>
      <c r="G609" s="20"/>
      <c r="H609" s="7"/>
      <c r="I609" s="20"/>
      <c r="J609" s="44"/>
      <c r="K609" s="20"/>
      <c r="L609" s="20"/>
      <c r="M609" s="20"/>
      <c r="N609" s="7"/>
      <c r="O609" s="10"/>
      <c r="P609" s="58"/>
      <c r="Q609" s="58"/>
      <c r="R609" s="50"/>
      <c r="S609" s="49"/>
      <c r="T609" s="26"/>
    </row>
    <row r="610" spans="1:20">
      <c r="B610" s="41"/>
      <c r="C610" s="29"/>
      <c r="D610" s="20"/>
      <c r="E610" s="20"/>
      <c r="F610" s="7"/>
      <c r="G610" s="20"/>
      <c r="H610" s="7"/>
      <c r="I610" s="20"/>
      <c r="J610" s="44"/>
      <c r="K610" s="20"/>
      <c r="L610" s="20"/>
      <c r="M610" s="20"/>
      <c r="N610" s="7"/>
      <c r="O610" s="10"/>
      <c r="P610" s="58"/>
      <c r="Q610" s="58"/>
      <c r="R610" s="50"/>
      <c r="S610" s="49"/>
      <c r="T610" s="26"/>
    </row>
    <row r="611" spans="1:20">
      <c r="B611" s="41"/>
      <c r="C611" s="29"/>
      <c r="D611" s="20"/>
      <c r="E611" s="20"/>
      <c r="F611" s="7"/>
      <c r="G611" s="20"/>
      <c r="H611" s="7"/>
      <c r="I611" s="20"/>
      <c r="J611" s="44"/>
      <c r="K611" s="20"/>
      <c r="L611" s="20"/>
      <c r="M611" s="20"/>
      <c r="N611" s="7"/>
      <c r="O611" s="10"/>
      <c r="P611" s="58"/>
      <c r="Q611" s="58"/>
      <c r="R611" s="50"/>
      <c r="S611" s="49"/>
      <c r="T611" s="26"/>
    </row>
    <row r="612" spans="1:20">
      <c r="B612" s="41"/>
      <c r="C612" s="29"/>
      <c r="D612" s="20"/>
      <c r="E612" s="20"/>
      <c r="F612" s="7"/>
      <c r="G612" s="20"/>
      <c r="H612" s="7"/>
      <c r="I612" s="20"/>
      <c r="J612" s="44"/>
      <c r="K612" s="20"/>
      <c r="L612" s="20"/>
      <c r="M612" s="20"/>
      <c r="N612" s="7"/>
      <c r="O612" s="10"/>
      <c r="P612" s="58"/>
      <c r="Q612" s="58"/>
      <c r="R612" s="50"/>
      <c r="S612" s="49"/>
      <c r="T612" s="26"/>
    </row>
    <row r="613" spans="1:20">
      <c r="B613" s="41"/>
      <c r="C613" s="29"/>
      <c r="D613" s="20"/>
      <c r="E613" s="20"/>
      <c r="F613" s="7"/>
      <c r="G613" s="20"/>
      <c r="H613" s="7"/>
      <c r="I613" s="20"/>
      <c r="J613" s="44"/>
      <c r="K613" s="20"/>
      <c r="L613" s="20"/>
      <c r="M613" s="20"/>
      <c r="N613" s="7"/>
      <c r="O613" s="10"/>
      <c r="P613" s="895" t="s">
        <v>25</v>
      </c>
      <c r="Q613" s="895"/>
      <c r="R613" s="50" t="s">
        <v>0</v>
      </c>
      <c r="S613" s="49" t="s">
        <v>11</v>
      </c>
      <c r="T613" s="26">
        <f>T608*1</f>
        <v>251296</v>
      </c>
    </row>
    <row r="614" spans="1:20">
      <c r="B614" s="41"/>
      <c r="C614" s="29"/>
      <c r="D614" s="20"/>
      <c r="E614" s="20"/>
      <c r="F614" s="7"/>
      <c r="G614" s="20"/>
      <c r="H614" s="7"/>
      <c r="I614" s="20"/>
      <c r="J614" s="44"/>
      <c r="K614" s="20"/>
      <c r="L614" s="20"/>
      <c r="M614" s="20"/>
      <c r="N614" s="7"/>
      <c r="O614" s="10"/>
      <c r="P614" s="49"/>
      <c r="Q614" s="49"/>
      <c r="R614" s="50"/>
      <c r="S614" s="49"/>
      <c r="T614" s="26"/>
    </row>
    <row r="615" spans="1:20" ht="14.25">
      <c r="B615" s="41"/>
      <c r="C615" s="29"/>
      <c r="D615" s="20"/>
      <c r="E615" s="20"/>
      <c r="F615" s="7"/>
      <c r="G615" s="20"/>
      <c r="H615" s="7"/>
      <c r="I615" s="20"/>
      <c r="J615" s="44"/>
      <c r="K615" s="20"/>
      <c r="L615" s="888" t="s">
        <v>77</v>
      </c>
      <c r="M615" s="888"/>
      <c r="N615" s="888"/>
      <c r="O615" s="1" t="s">
        <v>0</v>
      </c>
      <c r="P615" s="68">
        <f>$P$353</f>
        <v>18.353399999999997</v>
      </c>
      <c r="Q615" t="s">
        <v>7</v>
      </c>
      <c r="R615" s="50"/>
      <c r="S615" s="49"/>
      <c r="T615" s="26"/>
    </row>
    <row r="616" spans="1:20">
      <c r="B616" s="898" t="s">
        <v>48</v>
      </c>
      <c r="C616" s="898"/>
      <c r="D616" s="898"/>
      <c r="E616" s="898"/>
      <c r="F616" s="898"/>
      <c r="G616" s="898"/>
      <c r="H616" s="898"/>
      <c r="I616" s="20"/>
      <c r="J616" s="44"/>
      <c r="K616" s="20"/>
      <c r="L616" s="20"/>
      <c r="M616" s="20"/>
      <c r="N616" s="7"/>
      <c r="O616" s="1"/>
      <c r="P616" s="2"/>
      <c r="T616" s="11"/>
    </row>
    <row r="617" spans="1:20">
      <c r="B617" s="41"/>
      <c r="C617" s="903" t="s">
        <v>0</v>
      </c>
      <c r="D617" s="892">
        <v>2</v>
      </c>
      <c r="E617" s="892" t="s">
        <v>1</v>
      </c>
      <c r="F617" s="31">
        <v>3.14</v>
      </c>
      <c r="G617" s="892" t="s">
        <v>1</v>
      </c>
      <c r="H617" s="893">
        <v>1.2</v>
      </c>
      <c r="I617" s="892" t="s">
        <v>1</v>
      </c>
      <c r="J617" s="893">
        <v>1.2</v>
      </c>
      <c r="K617" s="892" t="s">
        <v>1</v>
      </c>
      <c r="L617" s="893">
        <v>0.6</v>
      </c>
      <c r="M617" s="33"/>
      <c r="N617" s="34"/>
      <c r="O617" s="937" t="s">
        <v>0</v>
      </c>
      <c r="P617" s="939">
        <f>ROUND((L617*J617*H617*D617)*(F617)/4,2)</f>
        <v>1.36</v>
      </c>
      <c r="Q617" s="934" t="s">
        <v>7</v>
      </c>
      <c r="T617" s="11"/>
    </row>
    <row r="618" spans="1:20">
      <c r="B618" s="41"/>
      <c r="C618" s="903"/>
      <c r="D618" s="892"/>
      <c r="E618" s="892"/>
      <c r="F618" s="36">
        <v>4</v>
      </c>
      <c r="G618" s="892"/>
      <c r="H618" s="893"/>
      <c r="I618" s="892"/>
      <c r="J618" s="893"/>
      <c r="K618" s="892"/>
      <c r="L618" s="893"/>
      <c r="M618" s="30"/>
      <c r="N618" s="31"/>
      <c r="O618" s="938"/>
      <c r="P618" s="940"/>
      <c r="Q618" s="935"/>
      <c r="T618" s="11"/>
    </row>
    <row r="619" spans="1:20" ht="14.25">
      <c r="L619" t="s">
        <v>49</v>
      </c>
      <c r="N619" s="7"/>
      <c r="O619" s="1" t="s">
        <v>0</v>
      </c>
      <c r="P619" s="2">
        <f>P607-P617</f>
        <v>21.89</v>
      </c>
      <c r="Q619" t="s">
        <v>7</v>
      </c>
    </row>
    <row r="620" spans="1:20" ht="14.25">
      <c r="I620" s="8"/>
      <c r="J620" s="886" t="s">
        <v>9</v>
      </c>
      <c r="K620" s="886"/>
      <c r="L620" s="891">
        <v>358</v>
      </c>
      <c r="M620" s="891"/>
      <c r="N620" s="9" t="s">
        <v>10</v>
      </c>
      <c r="O620" s="10"/>
      <c r="P620" s="2"/>
      <c r="R620" s="29" t="s">
        <v>0</v>
      </c>
      <c r="S620" s="16" t="s">
        <v>11</v>
      </c>
      <c r="T620" s="11">
        <f>ROUND(P619*L620,0)</f>
        <v>7837</v>
      </c>
    </row>
    <row r="621" spans="1:20">
      <c r="H621" s="8"/>
      <c r="I621" s="8"/>
      <c r="J621" s="17"/>
      <c r="K621" s="17"/>
      <c r="L621" s="17"/>
      <c r="M621" s="17"/>
      <c r="N621" s="9"/>
    </row>
    <row r="622" spans="1:20">
      <c r="H622" s="8"/>
      <c r="I622" s="8"/>
      <c r="J622" s="17"/>
      <c r="K622" s="17"/>
      <c r="L622" s="17"/>
      <c r="M622" s="17"/>
      <c r="N622" s="9"/>
      <c r="O622" s="10"/>
      <c r="R622" s="20"/>
      <c r="T622" s="11"/>
    </row>
    <row r="623" spans="1:20">
      <c r="P623" s="49"/>
      <c r="Q623" s="49"/>
      <c r="R623" s="50"/>
      <c r="S623" s="49"/>
      <c r="T623" s="28"/>
    </row>
    <row r="624" spans="1:20" ht="42" customHeight="1">
      <c r="A624" s="95" t="s">
        <v>328</v>
      </c>
      <c r="B624" s="936" t="s">
        <v>39</v>
      </c>
      <c r="C624" s="936"/>
      <c r="D624" s="936"/>
      <c r="E624" s="936"/>
      <c r="F624" s="936"/>
      <c r="G624" s="936"/>
      <c r="H624" s="936"/>
      <c r="I624" s="936"/>
      <c r="J624" s="936"/>
      <c r="K624" s="936"/>
      <c r="L624" s="936"/>
      <c r="M624" s="936"/>
      <c r="N624" s="936"/>
      <c r="O624" s="936"/>
      <c r="P624" s="936"/>
      <c r="Q624" s="936"/>
    </row>
    <row r="625" spans="1:20">
      <c r="B625" s="932" t="s">
        <v>66</v>
      </c>
      <c r="C625" s="903" t="s">
        <v>0</v>
      </c>
      <c r="D625" s="892">
        <v>2</v>
      </c>
      <c r="E625" s="892" t="s">
        <v>1</v>
      </c>
      <c r="F625" s="893">
        <v>1.2</v>
      </c>
      <c r="G625" s="892" t="s">
        <v>1</v>
      </c>
      <c r="H625" s="31">
        <v>0</v>
      </c>
      <c r="I625" s="32" t="s">
        <v>14</v>
      </c>
      <c r="J625" s="31">
        <v>0.25</v>
      </c>
      <c r="K625" s="892" t="s">
        <v>1</v>
      </c>
      <c r="L625" s="902">
        <v>2.125</v>
      </c>
      <c r="M625" s="38"/>
      <c r="N625" s="40"/>
      <c r="O625" s="903" t="s">
        <v>0</v>
      </c>
      <c r="P625" s="896">
        <f>(L625*F625*D625*(H625+J625)/2)</f>
        <v>0.63749999999999996</v>
      </c>
      <c r="Q625" s="915" t="s">
        <v>7</v>
      </c>
    </row>
    <row r="626" spans="1:20">
      <c r="B626" s="933"/>
      <c r="C626" s="903"/>
      <c r="D626" s="892"/>
      <c r="E626" s="892"/>
      <c r="F626" s="893"/>
      <c r="G626" s="892"/>
      <c r="H626" s="7"/>
      <c r="I626" s="29">
        <v>2</v>
      </c>
      <c r="J626" s="7"/>
      <c r="K626" s="892"/>
      <c r="L626" s="902"/>
      <c r="M626" s="38"/>
      <c r="N626" s="38"/>
      <c r="O626" s="903"/>
      <c r="P626" s="896"/>
      <c r="Q626" s="915"/>
    </row>
    <row r="627" spans="1:20">
      <c r="B627" s="932" t="s">
        <v>67</v>
      </c>
      <c r="C627" s="903" t="s">
        <v>0</v>
      </c>
      <c r="D627" s="892">
        <v>2</v>
      </c>
      <c r="E627" s="892" t="s">
        <v>1</v>
      </c>
      <c r="F627" s="893">
        <v>2.2999999999999998</v>
      </c>
      <c r="G627" s="892" t="s">
        <v>1</v>
      </c>
      <c r="H627" s="31">
        <v>0.15</v>
      </c>
      <c r="I627" s="32" t="s">
        <v>14</v>
      </c>
      <c r="J627" s="31">
        <v>0.78</v>
      </c>
      <c r="K627" s="892" t="s">
        <v>1</v>
      </c>
      <c r="L627" s="902">
        <v>2.125</v>
      </c>
      <c r="M627" s="38"/>
      <c r="N627" s="40"/>
      <c r="O627" s="903" t="s">
        <v>0</v>
      </c>
      <c r="P627" s="896">
        <f>(L627*F627*D627*(H627+J627)/2)</f>
        <v>4.5453749999999999</v>
      </c>
      <c r="Q627" s="915" t="s">
        <v>7</v>
      </c>
    </row>
    <row r="628" spans="1:20">
      <c r="B628" s="933"/>
      <c r="C628" s="903"/>
      <c r="D628" s="892"/>
      <c r="E628" s="892"/>
      <c r="F628" s="893"/>
      <c r="G628" s="892"/>
      <c r="H628" s="7"/>
      <c r="I628" s="29">
        <v>2</v>
      </c>
      <c r="J628" s="7"/>
      <c r="K628" s="892"/>
      <c r="L628" s="902"/>
      <c r="M628" s="38"/>
      <c r="N628" s="38"/>
      <c r="O628" s="903"/>
      <c r="P628" s="896"/>
      <c r="Q628" s="915"/>
    </row>
    <row r="629" spans="1:20" ht="14.25">
      <c r="B629" s="899" t="s">
        <v>27</v>
      </c>
      <c r="C629" s="900" t="s">
        <v>0</v>
      </c>
      <c r="D629" s="901">
        <v>1</v>
      </c>
      <c r="E629" s="901" t="s">
        <v>1</v>
      </c>
      <c r="F629" s="147">
        <v>7.3</v>
      </c>
      <c r="G629" s="148" t="s">
        <v>14</v>
      </c>
      <c r="H629" s="147">
        <v>7.6</v>
      </c>
      <c r="I629" s="901" t="s">
        <v>1</v>
      </c>
      <c r="J629" s="916">
        <v>1.8</v>
      </c>
      <c r="K629" s="901" t="s">
        <v>1</v>
      </c>
      <c r="L629" s="916">
        <v>0.6</v>
      </c>
      <c r="M629" s="33"/>
      <c r="N629" s="34"/>
      <c r="O629" s="35" t="s">
        <v>0</v>
      </c>
      <c r="P629" s="19">
        <f>ROUND((L629*J629*D629)*(F629+H629)/2,2)</f>
        <v>8.0500000000000007</v>
      </c>
      <c r="Q629" s="18" t="s">
        <v>7</v>
      </c>
    </row>
    <row r="630" spans="1:20">
      <c r="B630" s="899"/>
      <c r="C630" s="900"/>
      <c r="D630" s="901"/>
      <c r="E630" s="901"/>
      <c r="F630" s="149"/>
      <c r="G630" s="150">
        <v>2</v>
      </c>
      <c r="H630" s="149"/>
      <c r="I630" s="901"/>
      <c r="J630" s="916"/>
      <c r="K630" s="901"/>
      <c r="L630" s="916"/>
      <c r="M630" s="30"/>
      <c r="N630" s="31"/>
      <c r="O630" s="32"/>
      <c r="P630" s="12"/>
      <c r="Q630" s="13"/>
    </row>
    <row r="631" spans="1:20" ht="14.25">
      <c r="D631" s="15"/>
      <c r="E631" s="15"/>
      <c r="F631" s="15"/>
      <c r="G631" s="15"/>
      <c r="K631" s="15"/>
      <c r="L631" s="15"/>
      <c r="M631" s="15"/>
      <c r="N631" s="7" t="s">
        <v>8</v>
      </c>
      <c r="O631" s="1" t="s">
        <v>0</v>
      </c>
      <c r="P631" s="2">
        <f>SUM(P625:P629)</f>
        <v>13.232875</v>
      </c>
      <c r="Q631" t="s">
        <v>7</v>
      </c>
    </row>
    <row r="632" spans="1:20" ht="14.25">
      <c r="I632" s="8"/>
      <c r="J632" s="886" t="s">
        <v>9</v>
      </c>
      <c r="K632" s="886"/>
      <c r="L632" s="891">
        <v>116</v>
      </c>
      <c r="M632" s="891"/>
      <c r="N632" s="9" t="s">
        <v>10</v>
      </c>
      <c r="O632" s="10"/>
      <c r="P632" s="2"/>
      <c r="R632" s="29" t="s">
        <v>0</v>
      </c>
      <c r="S632" s="16" t="s">
        <v>11</v>
      </c>
      <c r="T632" s="11">
        <f>ROUND(P631*L632,0)</f>
        <v>1535</v>
      </c>
    </row>
    <row r="633" spans="1:20">
      <c r="H633" s="8"/>
      <c r="I633" s="8"/>
      <c r="J633" s="17"/>
      <c r="K633" s="17"/>
      <c r="L633" s="17"/>
      <c r="M633" s="17"/>
      <c r="N633" s="9"/>
      <c r="O633" s="10"/>
      <c r="P633" s="2"/>
    </row>
    <row r="634" spans="1:20">
      <c r="H634" s="8"/>
      <c r="I634" s="8"/>
      <c r="J634" s="17"/>
      <c r="K634" s="17"/>
      <c r="L634" s="17"/>
      <c r="M634" s="17"/>
      <c r="N634" s="9"/>
      <c r="O634" s="10"/>
      <c r="P634" s="2"/>
    </row>
    <row r="635" spans="1:20">
      <c r="H635" s="8"/>
      <c r="I635" s="8"/>
      <c r="J635" s="17"/>
      <c r="K635" s="17"/>
      <c r="L635" s="17"/>
      <c r="M635" s="17"/>
      <c r="N635" s="9"/>
      <c r="O635" s="10"/>
      <c r="P635" s="3"/>
      <c r="Q635" s="3"/>
      <c r="R635" s="3"/>
      <c r="S635" s="3"/>
      <c r="T635" s="26"/>
    </row>
    <row r="636" spans="1:20" ht="38.25">
      <c r="A636" s="95" t="s">
        <v>289</v>
      </c>
      <c r="B636" s="926" t="s">
        <v>40</v>
      </c>
      <c r="C636" s="926"/>
      <c r="D636" s="926"/>
      <c r="E636" s="926"/>
      <c r="F636" s="926"/>
      <c r="G636" s="926"/>
      <c r="H636" s="926"/>
      <c r="I636" s="926"/>
      <c r="J636" s="926"/>
      <c r="K636" s="926"/>
      <c r="L636" s="926"/>
      <c r="M636" s="926"/>
      <c r="N636" s="926"/>
      <c r="O636" s="926"/>
      <c r="P636" s="926"/>
      <c r="Q636" s="926"/>
    </row>
    <row r="637" spans="1:20" ht="14.25">
      <c r="B637" s="6" t="s">
        <v>28</v>
      </c>
      <c r="C637" s="29" t="s">
        <v>0</v>
      </c>
      <c r="D637" s="20"/>
      <c r="E637" s="20"/>
      <c r="F637" s="36">
        <v>1</v>
      </c>
      <c r="G637" s="20" t="s">
        <v>1</v>
      </c>
      <c r="H637" s="7">
        <v>2.1</v>
      </c>
      <c r="I637" s="20" t="s">
        <v>1</v>
      </c>
      <c r="J637" s="7">
        <v>0.45</v>
      </c>
      <c r="K637" s="20"/>
      <c r="L637" s="20"/>
      <c r="M637" s="20"/>
      <c r="N637" s="7"/>
      <c r="O637" s="29" t="s">
        <v>0</v>
      </c>
      <c r="P637" s="2">
        <f>ROUND(F637*H637*J637,2)</f>
        <v>0.95</v>
      </c>
      <c r="Q637" t="s">
        <v>16</v>
      </c>
    </row>
    <row r="638" spans="1:20" ht="14.25">
      <c r="B638" s="6"/>
      <c r="C638" s="29" t="s">
        <v>0</v>
      </c>
      <c r="D638" s="20"/>
      <c r="E638" s="20"/>
      <c r="F638" s="36">
        <v>2</v>
      </c>
      <c r="G638" s="20" t="s">
        <v>1</v>
      </c>
      <c r="H638" s="7">
        <v>1.2</v>
      </c>
      <c r="I638" s="20" t="s">
        <v>1</v>
      </c>
      <c r="J638" s="7">
        <v>0.45</v>
      </c>
      <c r="K638" s="20"/>
      <c r="L638" s="20"/>
      <c r="M638" s="20"/>
      <c r="N638" s="7"/>
      <c r="O638" s="29" t="s">
        <v>0</v>
      </c>
      <c r="P638" s="2">
        <f>ROUND(F638*H638*J638,2)</f>
        <v>1.08</v>
      </c>
      <c r="Q638" t="s">
        <v>16</v>
      </c>
    </row>
    <row r="639" spans="1:20" ht="14.25">
      <c r="B639" t="s">
        <v>50</v>
      </c>
      <c r="C639" s="29" t="s">
        <v>0</v>
      </c>
      <c r="D639" s="20"/>
      <c r="E639" s="20"/>
      <c r="F639" s="20">
        <v>3</v>
      </c>
      <c r="G639" s="20" t="s">
        <v>1</v>
      </c>
      <c r="H639" s="7">
        <v>1.2</v>
      </c>
      <c r="I639" s="20" t="s">
        <v>1</v>
      </c>
      <c r="J639" s="7">
        <v>1.45</v>
      </c>
      <c r="K639" s="20"/>
      <c r="L639" s="20"/>
      <c r="M639" s="20"/>
      <c r="N639" s="20"/>
      <c r="O639" s="29" t="s">
        <v>0</v>
      </c>
      <c r="P639" s="2">
        <f t="shared" ref="P639:P649" si="3">ROUND(F639*H639*J639,2)</f>
        <v>5.22</v>
      </c>
      <c r="Q639" t="s">
        <v>16</v>
      </c>
    </row>
    <row r="640" spans="1:20" ht="14.25">
      <c r="B640" t="s">
        <v>51</v>
      </c>
      <c r="C640" s="29" t="s">
        <v>0</v>
      </c>
      <c r="D640" s="20"/>
      <c r="E640" s="20"/>
      <c r="F640" s="20">
        <v>1</v>
      </c>
      <c r="G640" s="20" t="s">
        <v>1</v>
      </c>
      <c r="H640" s="7">
        <v>1.2</v>
      </c>
      <c r="I640" s="20" t="s">
        <v>1</v>
      </c>
      <c r="J640" s="7">
        <v>1.4</v>
      </c>
      <c r="K640" s="20"/>
      <c r="L640" s="20"/>
      <c r="M640" s="20"/>
      <c r="N640" s="20"/>
      <c r="O640" s="29" t="s">
        <v>0</v>
      </c>
      <c r="P640" s="2">
        <f t="shared" si="3"/>
        <v>1.68</v>
      </c>
      <c r="Q640" t="s">
        <v>16</v>
      </c>
    </row>
    <row r="641" spans="2:20" ht="14.25">
      <c r="B641" s="5" t="s">
        <v>15</v>
      </c>
      <c r="C641" s="29" t="s">
        <v>0</v>
      </c>
      <c r="D641" s="20"/>
      <c r="E641" s="20"/>
      <c r="F641" s="20">
        <v>3</v>
      </c>
      <c r="G641" s="20" t="s">
        <v>1</v>
      </c>
      <c r="H641" s="7">
        <v>3</v>
      </c>
      <c r="I641" s="20" t="s">
        <v>1</v>
      </c>
      <c r="J641" s="7">
        <v>1.8</v>
      </c>
      <c r="K641" s="20"/>
      <c r="L641" s="20"/>
      <c r="M641" s="20"/>
      <c r="N641" s="20"/>
      <c r="O641" s="29" t="s">
        <v>0</v>
      </c>
      <c r="P641" s="2">
        <f t="shared" si="3"/>
        <v>16.2</v>
      </c>
      <c r="Q641" t="s">
        <v>16</v>
      </c>
    </row>
    <row r="642" spans="2:20" ht="14.25">
      <c r="C642" s="29" t="s">
        <v>0</v>
      </c>
      <c r="D642" s="20">
        <v>2</v>
      </c>
      <c r="E642" s="20" t="s">
        <v>1</v>
      </c>
      <c r="F642" s="20">
        <v>3</v>
      </c>
      <c r="G642" s="20" t="s">
        <v>1</v>
      </c>
      <c r="H642" s="7">
        <v>0.6</v>
      </c>
      <c r="I642" s="20" t="s">
        <v>1</v>
      </c>
      <c r="J642" s="7">
        <v>0.6</v>
      </c>
      <c r="K642" s="20"/>
      <c r="L642" s="20"/>
      <c r="M642" s="20"/>
      <c r="N642" s="20"/>
      <c r="O642" s="29" t="s">
        <v>0</v>
      </c>
      <c r="P642" s="2">
        <f t="shared" si="3"/>
        <v>1.08</v>
      </c>
      <c r="Q642" t="s">
        <v>16</v>
      </c>
    </row>
    <row r="643" spans="2:20" ht="14.25">
      <c r="B643" t="s">
        <v>6</v>
      </c>
      <c r="C643" s="29" t="s">
        <v>0</v>
      </c>
      <c r="D643" s="20"/>
      <c r="E643" s="20"/>
      <c r="F643" s="20">
        <v>1</v>
      </c>
      <c r="G643" s="20" t="s">
        <v>1</v>
      </c>
      <c r="H643" s="7">
        <v>3</v>
      </c>
      <c r="I643" s="20" t="s">
        <v>1</v>
      </c>
      <c r="J643" s="7">
        <v>0.75</v>
      </c>
      <c r="K643" s="20"/>
      <c r="L643" s="20"/>
      <c r="M643" s="20"/>
      <c r="N643" s="20"/>
      <c r="O643" s="29" t="s">
        <v>0</v>
      </c>
      <c r="P643" s="2">
        <f t="shared" si="3"/>
        <v>2.25</v>
      </c>
      <c r="Q643" t="s">
        <v>16</v>
      </c>
    </row>
    <row r="644" spans="2:20" ht="14.25">
      <c r="C644" s="29" t="s">
        <v>0</v>
      </c>
      <c r="D644" s="20"/>
      <c r="E644" s="20"/>
      <c r="F644" s="20">
        <v>1</v>
      </c>
      <c r="G644" s="20" t="s">
        <v>1</v>
      </c>
      <c r="H644" s="7">
        <f>H643+0.9</f>
        <v>3.9</v>
      </c>
      <c r="I644" s="20" t="s">
        <v>1</v>
      </c>
      <c r="J644" s="7">
        <v>0.45</v>
      </c>
      <c r="K644" s="20"/>
      <c r="L644" s="20"/>
      <c r="M644" s="20"/>
      <c r="N644" s="20"/>
      <c r="O644" s="29" t="s">
        <v>0</v>
      </c>
      <c r="P644" s="2">
        <f t="shared" si="3"/>
        <v>1.76</v>
      </c>
      <c r="Q644" t="s">
        <v>16</v>
      </c>
    </row>
    <row r="645" spans="2:20" ht="14.25">
      <c r="C645" s="29" t="s">
        <v>0</v>
      </c>
      <c r="D645" s="20"/>
      <c r="E645" s="20"/>
      <c r="F645" s="20">
        <v>1</v>
      </c>
      <c r="G645" s="20" t="s">
        <v>1</v>
      </c>
      <c r="H645" s="7">
        <f>H644+0.9</f>
        <v>4.8</v>
      </c>
      <c r="I645" s="20" t="s">
        <v>1</v>
      </c>
      <c r="J645" s="7">
        <v>0.45</v>
      </c>
      <c r="K645" s="20"/>
      <c r="L645" s="20"/>
      <c r="M645" s="20"/>
      <c r="N645" s="20"/>
      <c r="O645" s="29" t="s">
        <v>0</v>
      </c>
      <c r="P645" s="2">
        <f t="shared" si="3"/>
        <v>2.16</v>
      </c>
      <c r="Q645" t="s">
        <v>16</v>
      </c>
    </row>
    <row r="646" spans="2:20" ht="14.25">
      <c r="C646" s="29" t="s">
        <v>0</v>
      </c>
      <c r="D646" s="20"/>
      <c r="E646" s="20"/>
      <c r="F646" s="20">
        <v>1</v>
      </c>
      <c r="G646" s="20" t="s">
        <v>1</v>
      </c>
      <c r="H646" s="7">
        <f>H645+0.9</f>
        <v>5.7</v>
      </c>
      <c r="I646" s="20" t="s">
        <v>1</v>
      </c>
      <c r="J646" s="34">
        <v>0.45</v>
      </c>
      <c r="K646" s="33"/>
      <c r="L646" s="33"/>
      <c r="M646" s="33"/>
      <c r="N646" s="33"/>
      <c r="O646" s="35" t="s">
        <v>0</v>
      </c>
      <c r="P646" s="2">
        <f t="shared" si="3"/>
        <v>2.57</v>
      </c>
      <c r="Q646" s="18" t="s">
        <v>16</v>
      </c>
      <c r="R646" s="18"/>
      <c r="S646" s="18"/>
    </row>
    <row r="647" spans="2:20" ht="14.25">
      <c r="C647" s="29" t="s">
        <v>0</v>
      </c>
      <c r="D647" s="20"/>
      <c r="E647" s="20"/>
      <c r="F647" s="20">
        <v>1</v>
      </c>
      <c r="G647" s="20" t="s">
        <v>1</v>
      </c>
      <c r="H647" s="7">
        <f>H646+0.9</f>
        <v>6.6000000000000005</v>
      </c>
      <c r="I647" s="20" t="s">
        <v>1</v>
      </c>
      <c r="J647" s="34">
        <v>0.45</v>
      </c>
      <c r="K647" s="33"/>
      <c r="L647" s="33"/>
      <c r="M647" s="33"/>
      <c r="N647" s="33"/>
      <c r="O647" s="35" t="s">
        <v>0</v>
      </c>
      <c r="P647" s="2">
        <f t="shared" si="3"/>
        <v>2.97</v>
      </c>
      <c r="Q647" s="18" t="s">
        <v>16</v>
      </c>
      <c r="R647" s="18"/>
      <c r="S647" s="18"/>
    </row>
    <row r="648" spans="2:20" ht="14.25">
      <c r="C648" s="29" t="s">
        <v>0</v>
      </c>
      <c r="D648" s="20"/>
      <c r="E648" s="20"/>
      <c r="F648" s="20">
        <v>1</v>
      </c>
      <c r="G648" s="20" t="s">
        <v>1</v>
      </c>
      <c r="H648" s="7">
        <f>H647+0.9</f>
        <v>7.5000000000000009</v>
      </c>
      <c r="I648" s="20" t="s">
        <v>1</v>
      </c>
      <c r="J648" s="34">
        <v>0.45</v>
      </c>
      <c r="K648" s="33"/>
      <c r="L648" s="33"/>
      <c r="M648" s="33"/>
      <c r="N648" s="33"/>
      <c r="O648" s="35" t="s">
        <v>0</v>
      </c>
      <c r="P648" s="2">
        <f t="shared" si="3"/>
        <v>3.38</v>
      </c>
      <c r="Q648" s="18" t="s">
        <v>16</v>
      </c>
      <c r="R648" s="18"/>
      <c r="S648" s="18"/>
    </row>
    <row r="649" spans="2:20" ht="14.25">
      <c r="C649" s="29" t="s">
        <v>0</v>
      </c>
      <c r="D649" s="20"/>
      <c r="E649" s="20"/>
      <c r="F649" s="20">
        <v>5</v>
      </c>
      <c r="G649" s="20" t="s">
        <v>1</v>
      </c>
      <c r="H649" s="7">
        <v>3</v>
      </c>
      <c r="I649" s="20" t="s">
        <v>1</v>
      </c>
      <c r="J649" s="7">
        <v>0.45</v>
      </c>
      <c r="K649" s="30"/>
      <c r="L649" s="30"/>
      <c r="M649" s="30"/>
      <c r="N649" s="30"/>
      <c r="O649" s="32" t="s">
        <v>0</v>
      </c>
      <c r="P649" s="12">
        <f t="shared" si="3"/>
        <v>6.75</v>
      </c>
      <c r="Q649" s="13" t="s">
        <v>16</v>
      </c>
    </row>
    <row r="650" spans="2:20" ht="14.25">
      <c r="N650" s="7" t="s">
        <v>8</v>
      </c>
      <c r="O650" s="1" t="s">
        <v>0</v>
      </c>
      <c r="P650" s="2">
        <f>SUM(P637:P649)</f>
        <v>48.050000000000004</v>
      </c>
      <c r="Q650" t="s">
        <v>16</v>
      </c>
    </row>
    <row r="651" spans="2:20" ht="14.25">
      <c r="I651" s="8"/>
      <c r="J651" s="8" t="s">
        <v>9</v>
      </c>
      <c r="L651" s="927">
        <v>76</v>
      </c>
      <c r="M651" s="927"/>
      <c r="N651" s="9" t="s">
        <v>17</v>
      </c>
      <c r="O651" s="10"/>
      <c r="P651" s="2"/>
      <c r="R651" s="29" t="s">
        <v>0</v>
      </c>
      <c r="S651" s="16" t="s">
        <v>11</v>
      </c>
      <c r="T651" s="11">
        <f>ROUND(P650*L651,0)</f>
        <v>3652</v>
      </c>
    </row>
    <row r="652" spans="2:20">
      <c r="I652" s="8"/>
      <c r="J652" s="8"/>
      <c r="K652" s="8"/>
      <c r="L652" s="17"/>
      <c r="M652" s="17"/>
      <c r="N652" s="9"/>
      <c r="O652" s="10"/>
      <c r="P652" s="2"/>
      <c r="R652" s="29"/>
      <c r="S652" s="16"/>
      <c r="T652" s="11"/>
    </row>
    <row r="653" spans="2:20">
      <c r="I653" s="8"/>
      <c r="J653" s="8"/>
      <c r="K653" s="8"/>
      <c r="L653" s="17"/>
      <c r="M653" s="17"/>
      <c r="N653" s="9"/>
      <c r="O653" s="10"/>
      <c r="P653" s="12"/>
      <c r="Q653" s="13"/>
      <c r="R653" s="32"/>
      <c r="S653" s="23"/>
      <c r="T653" s="27"/>
    </row>
    <row r="654" spans="2:20">
      <c r="I654" s="8"/>
      <c r="J654" s="8"/>
      <c r="K654" s="8"/>
      <c r="L654" s="17"/>
      <c r="M654" s="17"/>
      <c r="N654" s="9"/>
      <c r="O654" s="10"/>
      <c r="P654" s="894" t="s">
        <v>24</v>
      </c>
      <c r="Q654" s="894"/>
      <c r="R654" s="50" t="s">
        <v>0</v>
      </c>
      <c r="S654" s="49" t="s">
        <v>11</v>
      </c>
      <c r="T654" s="26">
        <f>SUM(T613:T653)</f>
        <v>264320</v>
      </c>
    </row>
    <row r="655" spans="2:20">
      <c r="I655" s="8"/>
      <c r="J655" s="8"/>
      <c r="K655" s="8"/>
      <c r="L655" s="17"/>
      <c r="M655" s="17"/>
      <c r="N655" s="9"/>
      <c r="O655" s="10"/>
      <c r="P655" s="58"/>
      <c r="Q655" s="58"/>
      <c r="R655" s="50"/>
      <c r="S655" s="49"/>
      <c r="T655" s="26"/>
    </row>
    <row r="656" spans="2:20">
      <c r="I656" s="8"/>
      <c r="J656" s="8"/>
      <c r="K656" s="8"/>
      <c r="L656" s="17"/>
      <c r="M656" s="17"/>
      <c r="N656" s="9"/>
      <c r="O656" s="10"/>
      <c r="P656" s="58"/>
      <c r="Q656" s="58"/>
      <c r="R656" s="50"/>
      <c r="S656" s="49"/>
      <c r="T656" s="26"/>
    </row>
    <row r="657" spans="1:20">
      <c r="I657" s="8"/>
      <c r="J657" s="8"/>
      <c r="K657" s="8"/>
      <c r="L657" s="17"/>
      <c r="M657" s="17"/>
      <c r="N657" s="9"/>
      <c r="O657" s="10"/>
      <c r="P657" s="58"/>
      <c r="Q657" s="58"/>
      <c r="R657" s="50"/>
      <c r="S657" s="49"/>
      <c r="T657" s="26"/>
    </row>
    <row r="658" spans="1:20">
      <c r="I658" s="8"/>
      <c r="J658" s="8"/>
      <c r="K658" s="8"/>
      <c r="L658" s="17"/>
      <c r="M658" s="17"/>
      <c r="N658" s="9"/>
      <c r="O658" s="10"/>
      <c r="P658" s="58"/>
      <c r="Q658" s="58"/>
      <c r="R658" s="50"/>
      <c r="S658" s="49"/>
      <c r="T658" s="26"/>
    </row>
    <row r="659" spans="1:20">
      <c r="I659" s="8"/>
      <c r="J659" s="8"/>
      <c r="K659" s="8"/>
      <c r="L659" s="17"/>
      <c r="M659" s="17"/>
      <c r="N659" s="9"/>
      <c r="O659" s="10"/>
      <c r="P659" s="58"/>
      <c r="Q659" s="58"/>
      <c r="R659" s="50"/>
      <c r="S659" s="49"/>
      <c r="T659" s="26"/>
    </row>
    <row r="660" spans="1:20">
      <c r="I660" s="8"/>
      <c r="J660" s="8"/>
      <c r="K660" s="8"/>
      <c r="L660" s="17"/>
      <c r="M660" s="17"/>
      <c r="N660" s="9"/>
      <c r="O660" s="10"/>
      <c r="P660" s="58"/>
      <c r="Q660" s="58"/>
      <c r="R660" s="50"/>
      <c r="S660" s="49"/>
      <c r="T660" s="26"/>
    </row>
    <row r="661" spans="1:20">
      <c r="I661" s="8"/>
      <c r="J661" s="8"/>
      <c r="K661" s="8"/>
      <c r="L661" s="17"/>
      <c r="M661" s="17"/>
      <c r="N661" s="9"/>
      <c r="O661" s="10"/>
      <c r="P661" s="58"/>
      <c r="Q661" s="58"/>
      <c r="R661" s="50"/>
      <c r="S661" s="49"/>
      <c r="T661" s="26"/>
    </row>
    <row r="662" spans="1:20">
      <c r="I662" s="8"/>
      <c r="J662" s="8"/>
      <c r="K662" s="8"/>
      <c r="L662" s="17"/>
      <c r="M662" s="17"/>
      <c r="N662" s="9"/>
      <c r="O662" s="10"/>
      <c r="P662" s="2"/>
      <c r="R662" s="29"/>
      <c r="S662" s="16"/>
      <c r="T662" s="11"/>
    </row>
    <row r="663" spans="1:20">
      <c r="I663" s="8"/>
      <c r="J663" s="8"/>
      <c r="K663" s="8"/>
      <c r="L663" s="17"/>
      <c r="M663" s="17"/>
      <c r="N663" s="9"/>
      <c r="O663" s="10"/>
      <c r="P663" s="895" t="s">
        <v>25</v>
      </c>
      <c r="Q663" s="895"/>
      <c r="R663" s="50" t="s">
        <v>0</v>
      </c>
      <c r="S663" s="49" t="s">
        <v>11</v>
      </c>
      <c r="T663" s="26">
        <f>T654*1</f>
        <v>264320</v>
      </c>
    </row>
    <row r="664" spans="1:20">
      <c r="I664" s="8"/>
      <c r="J664" s="8"/>
      <c r="K664" s="8"/>
      <c r="L664" s="17"/>
      <c r="M664" s="17"/>
      <c r="N664" s="9"/>
      <c r="O664" s="10"/>
      <c r="P664" s="2"/>
      <c r="R664" s="29"/>
      <c r="S664" s="16"/>
      <c r="T664" s="11"/>
    </row>
    <row r="665" spans="1:20" ht="30" customHeight="1">
      <c r="A665" s="55" t="s">
        <v>41</v>
      </c>
      <c r="B665" s="924" t="s">
        <v>78</v>
      </c>
      <c r="C665" s="924"/>
      <c r="D665" s="924"/>
      <c r="E665" s="924"/>
      <c r="F665" s="924"/>
      <c r="G665" s="924"/>
      <c r="H665" s="924"/>
      <c r="I665" s="924"/>
      <c r="J665" s="924"/>
      <c r="K665" s="924"/>
      <c r="L665" s="924"/>
      <c r="M665" s="924"/>
      <c r="N665" s="924"/>
      <c r="O665" s="924"/>
      <c r="P665" s="924"/>
      <c r="Q665" s="924"/>
    </row>
    <row r="666" spans="1:20">
      <c r="B666" s="119" t="s">
        <v>297</v>
      </c>
      <c r="C666" s="116"/>
      <c r="D666" s="116"/>
      <c r="E666" s="116"/>
      <c r="F666" s="116"/>
      <c r="G666" s="116"/>
      <c r="H666" s="116"/>
      <c r="I666" s="116"/>
      <c r="J666" s="116"/>
      <c r="K666" s="116"/>
      <c r="L666" s="116"/>
      <c r="M666" s="116"/>
      <c r="N666" s="116"/>
      <c r="O666" s="116"/>
      <c r="P666" s="116"/>
      <c r="Q666" s="116"/>
      <c r="R666" s="51"/>
      <c r="S666" s="51"/>
    </row>
    <row r="667" spans="1:20">
      <c r="B667" s="119" t="s">
        <v>290</v>
      </c>
      <c r="C667" s="116"/>
      <c r="D667" s="116"/>
      <c r="E667" s="116"/>
      <c r="F667" s="116"/>
      <c r="G667" s="121" t="s">
        <v>0</v>
      </c>
      <c r="H667" s="887">
        <f>P548*1</f>
        <v>6.18</v>
      </c>
      <c r="I667" s="887"/>
      <c r="J667" s="119" t="s">
        <v>291</v>
      </c>
      <c r="L667" s="122">
        <v>1.2</v>
      </c>
      <c r="M667" s="119" t="s">
        <v>292</v>
      </c>
      <c r="N667" s="116"/>
      <c r="O667" s="120" t="s">
        <v>0</v>
      </c>
      <c r="P667" s="123">
        <f>ROUND(H667*L667,2)</f>
        <v>7.42</v>
      </c>
      <c r="Q667" s="116" t="s">
        <v>275</v>
      </c>
      <c r="R667" s="51"/>
      <c r="S667" s="51"/>
    </row>
    <row r="668" spans="1:20">
      <c r="B668" s="119" t="s">
        <v>293</v>
      </c>
      <c r="C668" s="116"/>
      <c r="D668" s="116"/>
      <c r="E668" s="116"/>
      <c r="F668" s="116"/>
      <c r="G668" s="121" t="s">
        <v>0</v>
      </c>
      <c r="H668" s="887">
        <f>P557*1</f>
        <v>3.1300000000000003</v>
      </c>
      <c r="I668" s="887"/>
      <c r="J668" s="119" t="s">
        <v>291</v>
      </c>
      <c r="L668" s="122">
        <v>0.85</v>
      </c>
      <c r="M668" s="119" t="s">
        <v>292</v>
      </c>
      <c r="N668" s="116"/>
      <c r="O668" s="120" t="s">
        <v>0</v>
      </c>
      <c r="P668" s="123">
        <f>ROUND(H668*L668,2)</f>
        <v>2.66</v>
      </c>
      <c r="Q668" s="116" t="s">
        <v>275</v>
      </c>
      <c r="R668" s="51"/>
      <c r="S668" s="51"/>
    </row>
    <row r="669" spans="1:20">
      <c r="B669" s="119" t="s">
        <v>294</v>
      </c>
      <c r="C669" s="116"/>
      <c r="D669" s="116"/>
      <c r="E669" s="116"/>
      <c r="F669" s="116"/>
      <c r="G669" s="121" t="s">
        <v>0</v>
      </c>
      <c r="H669" s="887">
        <f>P584*1</f>
        <v>59.059999999999995</v>
      </c>
      <c r="I669" s="887"/>
      <c r="J669" s="119" t="s">
        <v>291</v>
      </c>
      <c r="L669" s="122">
        <v>1.1599999999999999</v>
      </c>
      <c r="M669" s="119" t="s">
        <v>292</v>
      </c>
      <c r="N669" s="116"/>
      <c r="O669" s="120" t="s">
        <v>0</v>
      </c>
      <c r="P669" s="123">
        <f>ROUND(H669*L669,2)</f>
        <v>68.510000000000005</v>
      </c>
      <c r="Q669" s="116" t="s">
        <v>275</v>
      </c>
      <c r="R669" s="51"/>
      <c r="S669" s="51"/>
    </row>
    <row r="670" spans="1:20">
      <c r="B670" s="119" t="s">
        <v>295</v>
      </c>
      <c r="C670" s="116"/>
      <c r="D670" s="116"/>
      <c r="E670" s="116"/>
      <c r="F670" s="116"/>
      <c r="G670" s="121" t="s">
        <v>0</v>
      </c>
      <c r="H670" s="887">
        <f>P619*1</f>
        <v>21.89</v>
      </c>
      <c r="I670" s="887"/>
      <c r="J670" s="119" t="s">
        <v>291</v>
      </c>
      <c r="L670" s="122">
        <v>1.2</v>
      </c>
      <c r="M670" s="124" t="s">
        <v>292</v>
      </c>
      <c r="N670" s="104"/>
      <c r="O670" s="125" t="s">
        <v>0</v>
      </c>
      <c r="P670" s="126">
        <f>ROUND(H670*L670,2)</f>
        <v>26.27</v>
      </c>
      <c r="Q670" s="104" t="s">
        <v>275</v>
      </c>
      <c r="R670" s="51"/>
      <c r="S670" s="51"/>
    </row>
    <row r="671" spans="1:20">
      <c r="B671" s="116"/>
      <c r="C671" s="116"/>
      <c r="D671" s="116"/>
      <c r="E671" s="116"/>
      <c r="F671" s="116"/>
      <c r="G671" s="116"/>
      <c r="H671" s="116"/>
      <c r="I671" s="116"/>
      <c r="J671" s="116"/>
      <c r="K671" s="116"/>
      <c r="L671" s="116"/>
      <c r="M671" s="897" t="s">
        <v>8</v>
      </c>
      <c r="N671" s="897"/>
      <c r="O671" s="120" t="s">
        <v>0</v>
      </c>
      <c r="P671" s="123">
        <f>SUM(P667:P670)</f>
        <v>104.86</v>
      </c>
      <c r="Q671" s="116" t="s">
        <v>275</v>
      </c>
      <c r="R671" s="51"/>
      <c r="S671" s="51"/>
    </row>
    <row r="672" spans="1:20">
      <c r="B672" s="116"/>
      <c r="C672" s="116"/>
      <c r="D672" s="116"/>
      <c r="E672" s="116"/>
      <c r="F672" s="116"/>
      <c r="G672" s="116"/>
      <c r="H672" s="116"/>
      <c r="I672" s="116"/>
      <c r="J672" s="116"/>
      <c r="K672" s="116"/>
      <c r="L672" s="116"/>
      <c r="M672" s="116"/>
      <c r="N672" s="116"/>
      <c r="O672" s="116"/>
      <c r="P672" s="116"/>
      <c r="Q672" s="116"/>
      <c r="R672" s="51"/>
      <c r="S672" s="51"/>
    </row>
    <row r="673" spans="1:20">
      <c r="B673" s="119" t="s">
        <v>296</v>
      </c>
      <c r="C673" s="116"/>
      <c r="D673" s="116"/>
      <c r="E673" s="116"/>
      <c r="F673" s="116"/>
      <c r="G673" s="116"/>
      <c r="H673" s="116"/>
      <c r="I673" s="116"/>
      <c r="J673" s="116"/>
      <c r="K673" s="116"/>
      <c r="L673" s="116"/>
      <c r="M673" s="116"/>
      <c r="N673" s="116"/>
      <c r="O673" s="116"/>
      <c r="P673" s="116"/>
      <c r="Q673" s="116"/>
      <c r="R673" s="51"/>
      <c r="S673" s="51"/>
    </row>
    <row r="674" spans="1:20">
      <c r="B674" s="119" t="s">
        <v>298</v>
      </c>
      <c r="C674" s="116"/>
      <c r="D674" s="116"/>
      <c r="E674" s="116"/>
      <c r="F674" s="116"/>
      <c r="G674" s="121" t="s">
        <v>0</v>
      </c>
      <c r="H674" s="887">
        <f>H668*1</f>
        <v>3.1300000000000003</v>
      </c>
      <c r="I674" s="887"/>
      <c r="J674" s="119" t="s">
        <v>291</v>
      </c>
      <c r="L674" s="122">
        <v>0.45</v>
      </c>
      <c r="M674" s="119" t="s">
        <v>292</v>
      </c>
      <c r="N674" s="116"/>
      <c r="O674" s="120" t="s">
        <v>0</v>
      </c>
      <c r="P674" s="123">
        <f>ROUND(H674*L674,2)</f>
        <v>1.41</v>
      </c>
      <c r="Q674" s="116" t="s">
        <v>275</v>
      </c>
      <c r="R674" s="51"/>
      <c r="S674" s="51"/>
    </row>
    <row r="675" spans="1:20">
      <c r="B675" s="119" t="s">
        <v>299</v>
      </c>
      <c r="C675" s="116"/>
      <c r="D675" s="116"/>
      <c r="E675" s="116"/>
      <c r="F675" s="116"/>
      <c r="G675" s="121" t="s">
        <v>0</v>
      </c>
      <c r="H675" s="887">
        <f>H669*1</f>
        <v>59.059999999999995</v>
      </c>
      <c r="I675" s="887"/>
      <c r="J675" s="119" t="s">
        <v>291</v>
      </c>
      <c r="L675" s="122">
        <v>0.35</v>
      </c>
      <c r="M675" s="119" t="s">
        <v>292</v>
      </c>
      <c r="N675" s="116"/>
      <c r="O675" s="120" t="s">
        <v>0</v>
      </c>
      <c r="P675" s="123">
        <f>ROUND(H675*L675,2)</f>
        <v>20.67</v>
      </c>
      <c r="Q675" s="116" t="s">
        <v>275</v>
      </c>
      <c r="R675" s="51"/>
      <c r="S675" s="51"/>
    </row>
    <row r="676" spans="1:20">
      <c r="B676" s="119" t="s">
        <v>300</v>
      </c>
      <c r="C676" s="116"/>
      <c r="D676" s="116"/>
      <c r="E676" s="116"/>
      <c r="F676" s="116"/>
      <c r="G676" s="121" t="s">
        <v>0</v>
      </c>
      <c r="H676" s="887">
        <f>P650*1</f>
        <v>48.050000000000004</v>
      </c>
      <c r="I676" s="887"/>
      <c r="J676" s="146" t="s">
        <v>331</v>
      </c>
      <c r="L676" s="127">
        <v>1.4999999999999999E-2</v>
      </c>
      <c r="M676" s="124" t="s">
        <v>301</v>
      </c>
      <c r="N676" s="104"/>
      <c r="O676" s="125" t="s">
        <v>0</v>
      </c>
      <c r="P676" s="126">
        <f>ROUND(H676*L676,2)</f>
        <v>0.72</v>
      </c>
      <c r="Q676" s="104" t="s">
        <v>275</v>
      </c>
      <c r="R676" s="51"/>
      <c r="S676" s="51"/>
    </row>
    <row r="677" spans="1:20">
      <c r="B677" s="116"/>
      <c r="C677" s="116"/>
      <c r="D677" s="116"/>
      <c r="E677" s="116"/>
      <c r="F677" s="116"/>
      <c r="G677" s="116"/>
      <c r="H677" s="116"/>
      <c r="I677" s="116"/>
      <c r="J677" s="116"/>
      <c r="K677" s="116"/>
      <c r="L677" s="116"/>
      <c r="M677" s="897" t="s">
        <v>8</v>
      </c>
      <c r="N677" s="897"/>
      <c r="O677" s="120" t="s">
        <v>0</v>
      </c>
      <c r="P677" s="123">
        <f>SUM(P674:P676)</f>
        <v>22.8</v>
      </c>
      <c r="Q677" s="116" t="s">
        <v>275</v>
      </c>
      <c r="R677" s="51"/>
      <c r="S677" s="51"/>
    </row>
    <row r="678" spans="1:20">
      <c r="B678" s="56"/>
      <c r="C678" s="56"/>
      <c r="D678" s="56"/>
      <c r="E678" s="56"/>
      <c r="F678" s="56"/>
      <c r="G678" s="56"/>
      <c r="H678" s="56"/>
      <c r="I678" s="56"/>
      <c r="J678" s="56"/>
      <c r="K678" s="51"/>
      <c r="L678" s="51"/>
      <c r="M678" s="51"/>
      <c r="N678" s="51"/>
      <c r="O678" s="51"/>
      <c r="P678" s="18"/>
      <c r="Q678" s="56"/>
      <c r="R678" s="51"/>
      <c r="S678" s="51"/>
    </row>
    <row r="679" spans="1:20">
      <c r="A679" s="20">
        <v>1.2</v>
      </c>
      <c r="B679" s="61" t="s">
        <v>42</v>
      </c>
      <c r="C679" s="61"/>
      <c r="D679" s="61"/>
      <c r="E679" s="61"/>
      <c r="F679" s="61"/>
      <c r="G679" s="61"/>
      <c r="H679" s="61"/>
      <c r="I679" s="61"/>
      <c r="J679" s="61"/>
      <c r="K679" s="62"/>
      <c r="L679" s="62"/>
      <c r="M679" s="62"/>
      <c r="N679" s="62"/>
      <c r="O679" s="51"/>
      <c r="P679" s="18"/>
      <c r="Q679" s="56"/>
      <c r="R679" s="51"/>
      <c r="S679" s="51"/>
    </row>
    <row r="680" spans="1:20" ht="14.25">
      <c r="B680" s="61" t="s">
        <v>43</v>
      </c>
      <c r="C680" s="61"/>
      <c r="D680" s="61"/>
      <c r="E680" s="61"/>
      <c r="F680" s="61"/>
      <c r="G680" s="61"/>
      <c r="H680" s="61"/>
      <c r="I680" s="61"/>
      <c r="J680" s="61"/>
      <c r="K680" s="928">
        <f>P671*1</f>
        <v>104.86</v>
      </c>
      <c r="L680" s="929"/>
      <c r="M680" s="909" t="s">
        <v>57</v>
      </c>
      <c r="N680" s="909"/>
      <c r="O680" s="51"/>
      <c r="P680" s="18"/>
      <c r="Q680" s="56"/>
      <c r="R680" s="51"/>
      <c r="S680" s="51"/>
    </row>
    <row r="681" spans="1:20" ht="14.25">
      <c r="B681" s="61" t="s">
        <v>44</v>
      </c>
      <c r="C681" s="61"/>
      <c r="D681" s="61"/>
      <c r="E681" s="61"/>
      <c r="F681" s="61"/>
      <c r="G681" s="61"/>
      <c r="H681" s="63"/>
      <c r="I681" s="63"/>
      <c r="J681" s="63"/>
      <c r="K681" s="930">
        <f>P677*1</f>
        <v>22.8</v>
      </c>
      <c r="L681" s="930"/>
      <c r="M681" s="931" t="s">
        <v>57</v>
      </c>
      <c r="N681" s="931"/>
      <c r="O681" s="51"/>
      <c r="P681" s="18"/>
      <c r="Q681" s="56"/>
      <c r="R681" s="51"/>
      <c r="S681" s="51"/>
    </row>
    <row r="682" spans="1:20" ht="14.25">
      <c r="B682" s="61"/>
      <c r="C682" s="61"/>
      <c r="D682" s="61"/>
      <c r="E682" s="61"/>
      <c r="F682" s="61"/>
      <c r="G682" s="61"/>
      <c r="H682" s="61" t="s">
        <v>45</v>
      </c>
      <c r="I682" s="61"/>
      <c r="J682" s="61"/>
      <c r="K682" s="917">
        <f>K680+K681</f>
        <v>127.66</v>
      </c>
      <c r="L682" s="918"/>
      <c r="M682" s="909" t="s">
        <v>57</v>
      </c>
      <c r="N682" s="909"/>
      <c r="O682" s="51"/>
      <c r="P682" s="18"/>
      <c r="Q682" s="56"/>
      <c r="R682" s="51"/>
      <c r="S682" s="51"/>
    </row>
    <row r="683" spans="1:20" ht="14.25">
      <c r="B683" s="56"/>
      <c r="C683" s="56"/>
      <c r="D683" s="56"/>
      <c r="E683" s="56"/>
      <c r="F683" s="56"/>
      <c r="G683" s="56"/>
      <c r="H683" s="56"/>
      <c r="I683" s="56"/>
      <c r="J683" s="886" t="s">
        <v>9</v>
      </c>
      <c r="K683" s="886"/>
      <c r="L683" s="891">
        <v>95</v>
      </c>
      <c r="M683" s="891"/>
      <c r="N683" s="9" t="s">
        <v>10</v>
      </c>
      <c r="O683" s="10"/>
      <c r="P683" s="2"/>
      <c r="R683" s="29" t="s">
        <v>0</v>
      </c>
      <c r="S683" s="16" t="s">
        <v>11</v>
      </c>
      <c r="T683" s="66">
        <f>ROUND(L683*K682,0)</f>
        <v>12128</v>
      </c>
    </row>
    <row r="684" spans="1:20">
      <c r="B684" s="56"/>
      <c r="C684" s="56"/>
      <c r="D684" s="56"/>
      <c r="E684" s="56"/>
      <c r="F684" s="56"/>
      <c r="G684" s="56"/>
      <c r="H684" s="56"/>
      <c r="I684" s="56"/>
      <c r="J684" s="56"/>
      <c r="K684" s="51"/>
      <c r="L684" s="51"/>
      <c r="M684" s="51"/>
      <c r="N684" s="51"/>
      <c r="O684" s="51"/>
      <c r="P684" s="18"/>
      <c r="Q684" s="56"/>
      <c r="R684" s="51"/>
      <c r="S684" s="51"/>
    </row>
    <row r="685" spans="1:20">
      <c r="B685" s="56"/>
      <c r="C685" s="56"/>
      <c r="D685" s="56"/>
      <c r="E685" s="56"/>
      <c r="F685" s="56"/>
      <c r="G685" s="56"/>
      <c r="H685" s="56"/>
      <c r="I685" s="56"/>
      <c r="J685" s="56"/>
      <c r="K685" s="51"/>
      <c r="L685" s="51"/>
      <c r="M685" s="51"/>
      <c r="N685" s="51"/>
      <c r="O685" s="51"/>
      <c r="P685" s="18"/>
      <c r="Q685" s="56"/>
      <c r="R685" s="51"/>
      <c r="S685" s="51"/>
    </row>
    <row r="686" spans="1:20">
      <c r="A686" s="20">
        <v>1.3</v>
      </c>
      <c r="B686" s="56" t="s">
        <v>46</v>
      </c>
      <c r="C686" s="56"/>
      <c r="D686" s="56"/>
      <c r="E686" s="56"/>
      <c r="F686" s="56"/>
      <c r="G686" s="56"/>
      <c r="H686" s="56"/>
      <c r="I686" s="56"/>
      <c r="J686" s="56"/>
      <c r="K686" s="51"/>
      <c r="L686" s="51"/>
      <c r="M686" s="51"/>
      <c r="N686" s="51"/>
      <c r="O686" s="51"/>
      <c r="P686" s="18"/>
      <c r="Q686" s="56"/>
      <c r="R686" s="51"/>
      <c r="S686" s="51"/>
    </row>
    <row r="687" spans="1:20" ht="14.25">
      <c r="B687" s="3" t="s">
        <v>344</v>
      </c>
    </row>
    <row r="688" spans="1:20">
      <c r="A688" s="16"/>
      <c r="C688" s="907" t="s">
        <v>52</v>
      </c>
      <c r="D688" s="907"/>
      <c r="E688" s="907"/>
      <c r="F688" s="907"/>
      <c r="G688" s="907"/>
      <c r="H688" s="907"/>
      <c r="I688" s="907"/>
      <c r="J688" s="907"/>
      <c r="K688" s="907"/>
    </row>
    <row r="689" spans="1:20">
      <c r="C689" s="151" t="s">
        <v>345</v>
      </c>
      <c r="L689" s="17"/>
      <c r="M689" s="17"/>
      <c r="N689" s="17"/>
      <c r="O689" s="9"/>
      <c r="P689" s="10"/>
      <c r="T689" s="11"/>
    </row>
    <row r="690" spans="1:20" ht="14.25">
      <c r="C690" t="s">
        <v>56</v>
      </c>
      <c r="F690" s="22"/>
      <c r="I690" s="24"/>
      <c r="J690" s="24"/>
      <c r="K690" s="47"/>
      <c r="L690" s="17"/>
      <c r="M690" s="60" t="s">
        <v>0</v>
      </c>
      <c r="N690" s="891">
        <f>K680*1</f>
        <v>104.86</v>
      </c>
      <c r="O690" s="891"/>
      <c r="P690" s="64" t="s">
        <v>7</v>
      </c>
      <c r="Q690" s="18"/>
      <c r="R690" s="18"/>
      <c r="S690" s="25"/>
      <c r="T690" s="57"/>
    </row>
    <row r="691" spans="1:20" ht="14.25">
      <c r="C691" t="s">
        <v>62</v>
      </c>
      <c r="F691" s="22"/>
      <c r="I691" s="24"/>
      <c r="J691" s="24"/>
      <c r="K691" s="47"/>
      <c r="L691" s="17"/>
      <c r="M691" s="60"/>
      <c r="N691" s="17"/>
      <c r="O691" s="17"/>
      <c r="P691" s="64"/>
      <c r="Q691" s="18"/>
      <c r="R691" s="18"/>
      <c r="S691" s="25"/>
      <c r="T691" s="57"/>
    </row>
    <row r="692" spans="1:20">
      <c r="D692" s="1" t="s">
        <v>0</v>
      </c>
      <c r="E692" s="891">
        <f>N690*1</f>
        <v>104.86</v>
      </c>
      <c r="F692" s="891"/>
      <c r="G692" t="s">
        <v>1</v>
      </c>
      <c r="H692" s="7">
        <v>2.4</v>
      </c>
      <c r="I692" t="s">
        <v>1</v>
      </c>
      <c r="J692" s="2">
        <v>9</v>
      </c>
      <c r="L692" s="17"/>
      <c r="M692" s="60" t="s">
        <v>0</v>
      </c>
      <c r="N692" s="888">
        <f>ROUND(E692*H692*J692,2)</f>
        <v>2264.98</v>
      </c>
      <c r="O692" s="888"/>
      <c r="P692" s="65" t="s">
        <v>58</v>
      </c>
      <c r="Q692" s="58"/>
      <c r="R692" s="50"/>
      <c r="S692" s="49"/>
      <c r="T692" s="26"/>
    </row>
    <row r="693" spans="1:20">
      <c r="J693" s="886" t="s">
        <v>9</v>
      </c>
      <c r="K693" s="886"/>
      <c r="L693" s="891">
        <v>3.6</v>
      </c>
      <c r="M693" s="891"/>
      <c r="N693" s="9" t="s">
        <v>59</v>
      </c>
      <c r="O693" s="10"/>
      <c r="P693" s="2"/>
      <c r="R693" s="29" t="s">
        <v>0</v>
      </c>
      <c r="S693" s="16" t="s">
        <v>11</v>
      </c>
      <c r="T693" s="66">
        <f>ROUND(N692*L693,0)</f>
        <v>8154</v>
      </c>
    </row>
    <row r="694" spans="1:20">
      <c r="L694" s="17"/>
      <c r="M694" s="17"/>
      <c r="N694" s="17"/>
      <c r="O694" s="9"/>
      <c r="P694" s="49"/>
      <c r="Q694" s="49"/>
      <c r="R694" s="50"/>
      <c r="S694" s="49"/>
      <c r="T694" s="26"/>
    </row>
    <row r="695" spans="1:20">
      <c r="C695" t="s">
        <v>60</v>
      </c>
      <c r="L695" s="17"/>
      <c r="M695" s="17"/>
      <c r="N695" s="17"/>
      <c r="O695" s="9"/>
      <c r="P695" s="49"/>
      <c r="Q695" s="49"/>
      <c r="R695" s="50"/>
      <c r="S695" s="49"/>
      <c r="T695" s="26"/>
    </row>
    <row r="696" spans="1:20">
      <c r="D696" s="1" t="s">
        <v>0</v>
      </c>
      <c r="E696" s="888">
        <f>N690*1</f>
        <v>104.86</v>
      </c>
      <c r="F696" s="888"/>
      <c r="G696" t="s">
        <v>1</v>
      </c>
      <c r="H696" s="7">
        <v>2.4</v>
      </c>
      <c r="I696" t="s">
        <v>1</v>
      </c>
      <c r="J696" s="2">
        <v>2</v>
      </c>
      <c r="L696" s="17"/>
      <c r="M696" s="60" t="s">
        <v>0</v>
      </c>
      <c r="N696" s="888">
        <f>ROUND(E696*H696*J696,2)</f>
        <v>503.33</v>
      </c>
      <c r="O696" s="888"/>
      <c r="P696" s="65" t="s">
        <v>58</v>
      </c>
      <c r="Q696" s="58"/>
      <c r="R696" s="50"/>
      <c r="S696" s="49"/>
      <c r="T696" s="26"/>
    </row>
    <row r="697" spans="1:20">
      <c r="J697" s="886" t="s">
        <v>9</v>
      </c>
      <c r="K697" s="886"/>
      <c r="L697" s="891">
        <v>8.6</v>
      </c>
      <c r="M697" s="891"/>
      <c r="N697" s="9" t="s">
        <v>59</v>
      </c>
      <c r="O697" s="10"/>
      <c r="P697" s="2"/>
      <c r="R697" s="29" t="s">
        <v>0</v>
      </c>
      <c r="S697" s="16" t="s">
        <v>11</v>
      </c>
      <c r="T697" s="66">
        <f>ROUND(N696*L697,0)</f>
        <v>4329</v>
      </c>
    </row>
    <row r="698" spans="1:20">
      <c r="R698" s="16"/>
      <c r="S698" s="16"/>
    </row>
    <row r="699" spans="1:20">
      <c r="B699" s="3" t="s">
        <v>346</v>
      </c>
      <c r="R699" s="16"/>
      <c r="S699" s="16"/>
    </row>
    <row r="700" spans="1:20">
      <c r="A700" s="16"/>
      <c r="C700" s="889" t="s">
        <v>347</v>
      </c>
      <c r="D700" s="890"/>
      <c r="E700" s="890"/>
      <c r="F700" s="890"/>
      <c r="G700" s="890"/>
      <c r="H700" s="890"/>
      <c r="I700" s="890"/>
      <c r="J700" s="890"/>
      <c r="K700" s="890"/>
      <c r="R700" s="16"/>
      <c r="S700" s="16"/>
    </row>
    <row r="701" spans="1:20">
      <c r="C701" s="151" t="s">
        <v>348</v>
      </c>
      <c r="R701" s="16"/>
      <c r="S701" s="16"/>
    </row>
    <row r="702" spans="1:20" ht="14.25">
      <c r="C702" t="s">
        <v>61</v>
      </c>
      <c r="F702" s="22"/>
      <c r="I702" s="24"/>
      <c r="J702" s="24"/>
      <c r="K702" s="47"/>
      <c r="L702" s="17"/>
      <c r="M702" s="60" t="s">
        <v>0</v>
      </c>
      <c r="N702" s="891">
        <f>K681*1</f>
        <v>22.8</v>
      </c>
      <c r="O702" s="891"/>
      <c r="P702" s="64" t="s">
        <v>7</v>
      </c>
      <c r="Q702" s="18"/>
      <c r="R702" s="18"/>
      <c r="S702" s="25"/>
      <c r="T702" s="57"/>
    </row>
    <row r="703" spans="1:20" ht="14.25">
      <c r="C703" t="s">
        <v>63</v>
      </c>
      <c r="F703" s="22"/>
      <c r="I703" s="24"/>
      <c r="J703" s="24"/>
      <c r="K703" s="47"/>
      <c r="L703" s="17"/>
      <c r="M703" s="60"/>
      <c r="N703" s="17"/>
      <c r="O703" s="17"/>
      <c r="P703" s="64"/>
      <c r="Q703" s="18"/>
      <c r="R703" s="18"/>
      <c r="S703" s="25"/>
      <c r="T703" s="57"/>
    </row>
    <row r="704" spans="1:20">
      <c r="D704" s="1" t="s">
        <v>0</v>
      </c>
      <c r="E704" s="888">
        <f>N702*1</f>
        <v>22.8</v>
      </c>
      <c r="F704" s="888"/>
      <c r="G704" t="s">
        <v>1</v>
      </c>
      <c r="H704" s="7">
        <v>1.84</v>
      </c>
      <c r="I704" t="s">
        <v>1</v>
      </c>
      <c r="J704" s="2">
        <v>24</v>
      </c>
      <c r="L704" s="17"/>
      <c r="M704" s="60" t="s">
        <v>0</v>
      </c>
      <c r="N704" s="888">
        <f>ROUND(E704*H704*J704,2)</f>
        <v>1006.85</v>
      </c>
      <c r="O704" s="888"/>
      <c r="P704" s="65" t="s">
        <v>58</v>
      </c>
      <c r="Q704" s="58"/>
      <c r="R704" s="50"/>
      <c r="S704" s="49"/>
      <c r="T704" s="26"/>
    </row>
    <row r="705" spans="3:20">
      <c r="J705" s="886" t="s">
        <v>9</v>
      </c>
      <c r="K705" s="886"/>
      <c r="L705" s="891">
        <v>3.6</v>
      </c>
      <c r="M705" s="891"/>
      <c r="N705" s="9" t="s">
        <v>59</v>
      </c>
      <c r="O705" s="10"/>
      <c r="P705" s="2"/>
      <c r="R705" s="29" t="s">
        <v>0</v>
      </c>
      <c r="S705" s="16" t="s">
        <v>11</v>
      </c>
      <c r="T705" s="66">
        <f>ROUND(N704*L705,0)</f>
        <v>3625</v>
      </c>
    </row>
    <row r="706" spans="3:20">
      <c r="L706" s="17"/>
      <c r="M706" s="17"/>
      <c r="N706" s="17"/>
      <c r="O706" s="9"/>
      <c r="P706" s="49"/>
      <c r="Q706" s="49"/>
      <c r="R706" s="50"/>
      <c r="S706" s="49"/>
      <c r="T706" s="26"/>
    </row>
    <row r="707" spans="3:20">
      <c r="C707" t="s">
        <v>60</v>
      </c>
      <c r="L707" s="17"/>
      <c r="M707" s="17"/>
      <c r="N707" s="17"/>
      <c r="O707" s="9"/>
      <c r="P707" s="49"/>
      <c r="Q707" s="49"/>
      <c r="R707" s="50"/>
      <c r="S707" s="49"/>
      <c r="T707" s="26"/>
    </row>
    <row r="708" spans="3:20">
      <c r="D708" s="1" t="s">
        <v>0</v>
      </c>
      <c r="E708" s="888">
        <f>N702*1</f>
        <v>22.8</v>
      </c>
      <c r="F708" s="888"/>
      <c r="G708" t="s">
        <v>1</v>
      </c>
      <c r="H708" s="7">
        <v>1.84</v>
      </c>
      <c r="I708" t="s">
        <v>1</v>
      </c>
      <c r="J708" s="2">
        <v>1</v>
      </c>
      <c r="L708" s="17"/>
      <c r="M708" s="60" t="s">
        <v>0</v>
      </c>
      <c r="N708" s="888">
        <f>ROUND(E708*H708*J708,2)</f>
        <v>41.95</v>
      </c>
      <c r="O708" s="888"/>
      <c r="P708" s="65" t="s">
        <v>58</v>
      </c>
      <c r="Q708" s="58"/>
      <c r="R708" s="50"/>
      <c r="S708" s="49"/>
      <c r="T708" s="26"/>
    </row>
    <row r="709" spans="3:20">
      <c r="J709" s="886" t="s">
        <v>9</v>
      </c>
      <c r="K709" s="886"/>
      <c r="L709" s="891">
        <v>8.6</v>
      </c>
      <c r="M709" s="891"/>
      <c r="N709" s="9" t="s">
        <v>59</v>
      </c>
      <c r="O709" s="10"/>
      <c r="P709" s="2"/>
      <c r="R709" s="29" t="s">
        <v>0</v>
      </c>
      <c r="S709" s="16" t="s">
        <v>11</v>
      </c>
      <c r="T709" s="66">
        <f>ROUND(N708*L709,0)</f>
        <v>361</v>
      </c>
    </row>
    <row r="710" spans="3:20">
      <c r="J710" s="8"/>
      <c r="K710" s="8"/>
      <c r="L710" s="17"/>
      <c r="M710" s="17"/>
      <c r="N710" s="9"/>
      <c r="O710" s="10"/>
      <c r="P710" s="2"/>
      <c r="S710" s="16"/>
      <c r="T710" s="66"/>
    </row>
    <row r="711" spans="3:20">
      <c r="P711" s="13"/>
      <c r="Q711" s="13"/>
      <c r="R711" s="23"/>
      <c r="S711" s="23"/>
      <c r="T711" s="13"/>
    </row>
    <row r="712" spans="3:20">
      <c r="P712" s="894" t="s">
        <v>24</v>
      </c>
      <c r="Q712" s="894"/>
      <c r="R712" s="50" t="s">
        <v>0</v>
      </c>
      <c r="S712" s="49" t="s">
        <v>11</v>
      </c>
      <c r="T712" s="28">
        <f>SUM(T663:T711)</f>
        <v>292917</v>
      </c>
    </row>
    <row r="713" spans="3:20">
      <c r="T713" s="28"/>
    </row>
    <row r="714" spans="3:20">
      <c r="T714" s="28"/>
    </row>
    <row r="715" spans="3:20">
      <c r="T715" s="28"/>
    </row>
    <row r="716" spans="3:20">
      <c r="T716" s="28"/>
    </row>
    <row r="717" spans="3:20">
      <c r="T717" s="28"/>
    </row>
    <row r="718" spans="3:20">
      <c r="T718" s="28"/>
    </row>
    <row r="719" spans="3:20">
      <c r="T719" s="28"/>
    </row>
    <row r="720" spans="3:20">
      <c r="P720" s="895" t="s">
        <v>25</v>
      </c>
      <c r="Q720" s="895"/>
      <c r="R720" s="50" t="s">
        <v>0</v>
      </c>
      <c r="S720" s="49" t="s">
        <v>11</v>
      </c>
      <c r="T720" s="28">
        <f>T712*1</f>
        <v>292917</v>
      </c>
    </row>
    <row r="721" spans="1:20">
      <c r="T721" s="28"/>
    </row>
    <row r="722" spans="1:20">
      <c r="A722" s="29" t="s">
        <v>69</v>
      </c>
      <c r="B722" t="s">
        <v>19</v>
      </c>
    </row>
    <row r="723" spans="1:20">
      <c r="C723" s="151" t="s">
        <v>335</v>
      </c>
    </row>
    <row r="724" spans="1:20">
      <c r="C724" s="151" t="s">
        <v>336</v>
      </c>
    </row>
    <row r="725" spans="1:20">
      <c r="C725" s="151" t="s">
        <v>333</v>
      </c>
      <c r="G725" s="13" t="s">
        <v>1</v>
      </c>
      <c r="H725" s="12">
        <v>2.5</v>
      </c>
      <c r="I725" s="14" t="s">
        <v>0</v>
      </c>
      <c r="J725" s="100">
        <f>H725*4</f>
        <v>10</v>
      </c>
      <c r="K725" s="100" t="s">
        <v>13</v>
      </c>
      <c r="L725" s="100"/>
      <c r="M725" s="24"/>
    </row>
    <row r="726" spans="1:20">
      <c r="H726" s="2" t="s">
        <v>8</v>
      </c>
      <c r="I726" s="1" t="s">
        <v>0</v>
      </c>
      <c r="J726" s="24">
        <f>SUM(J725:J725)</f>
        <v>10</v>
      </c>
      <c r="K726" s="24" t="s">
        <v>13</v>
      </c>
      <c r="L726" s="24"/>
      <c r="M726" s="24"/>
    </row>
    <row r="727" spans="1:20">
      <c r="H727" s="2"/>
      <c r="I727" s="1"/>
      <c r="J727" s="24"/>
      <c r="K727" s="24"/>
      <c r="L727" s="24"/>
      <c r="M727" s="24"/>
    </row>
    <row r="728" spans="1:20">
      <c r="B728" s="925" t="s">
        <v>337</v>
      </c>
      <c r="C728" s="925"/>
      <c r="D728" s="925"/>
      <c r="E728" s="925"/>
      <c r="F728" s="925"/>
      <c r="G728" s="885">
        <v>37.6</v>
      </c>
      <c r="H728" s="885"/>
      <c r="I728" s="1" t="s">
        <v>20</v>
      </c>
      <c r="K728" s="1"/>
      <c r="L728" s="155" t="s">
        <v>343</v>
      </c>
      <c r="M728" s="1"/>
      <c r="N728" s="891">
        <f>ROUND(G728*10,0)</f>
        <v>376</v>
      </c>
      <c r="O728" s="891"/>
    </row>
    <row r="729" spans="1:20">
      <c r="B729" s="925" t="s">
        <v>338</v>
      </c>
      <c r="C729" s="925"/>
      <c r="D729" s="925"/>
      <c r="E729" s="925"/>
      <c r="F729" s="925"/>
      <c r="G729" s="885">
        <v>12.8</v>
      </c>
      <c r="H729" s="885"/>
      <c r="I729" s="1" t="s">
        <v>20</v>
      </c>
      <c r="K729" s="1"/>
      <c r="L729" s="155" t="s">
        <v>343</v>
      </c>
      <c r="M729" s="1"/>
      <c r="N729" s="891">
        <f>ROUND(G729*40,0)</f>
        <v>512</v>
      </c>
      <c r="O729" s="891"/>
    </row>
    <row r="730" spans="1:20">
      <c r="B730" s="925" t="s">
        <v>339</v>
      </c>
      <c r="C730" s="925"/>
      <c r="D730" s="925"/>
      <c r="E730" s="925"/>
      <c r="F730" s="925"/>
      <c r="G730" s="885">
        <v>7.6</v>
      </c>
      <c r="H730" s="885"/>
      <c r="I730" s="1" t="s">
        <v>20</v>
      </c>
      <c r="K730" s="1"/>
      <c r="L730" s="155" t="s">
        <v>343</v>
      </c>
      <c r="M730" s="1"/>
      <c r="N730" s="891">
        <f>ROUND(G730*11,0)</f>
        <v>84</v>
      </c>
      <c r="O730" s="891"/>
    </row>
    <row r="731" spans="1:20">
      <c r="B731" s="884" t="s">
        <v>340</v>
      </c>
      <c r="C731" s="884"/>
      <c r="D731" s="884"/>
      <c r="E731" s="884"/>
      <c r="F731" s="884"/>
      <c r="G731" s="923">
        <v>18.3</v>
      </c>
      <c r="H731" s="923"/>
      <c r="I731" s="14" t="s">
        <v>20</v>
      </c>
      <c r="J731" s="13"/>
      <c r="K731" s="14"/>
      <c r="L731" s="156" t="s">
        <v>343</v>
      </c>
      <c r="M731" s="14"/>
      <c r="N731" s="905">
        <f>ROUND(G731*1,0)</f>
        <v>18</v>
      </c>
      <c r="O731" s="905"/>
    </row>
    <row r="732" spans="1:20">
      <c r="B732" s="884"/>
      <c r="C732" s="884"/>
      <c r="D732" s="884"/>
      <c r="E732" s="884"/>
      <c r="F732" s="884"/>
      <c r="G732" s="923"/>
      <c r="H732" s="923"/>
      <c r="I732" s="1"/>
      <c r="J732" s="151" t="s">
        <v>8</v>
      </c>
      <c r="K732" s="76"/>
      <c r="L732" s="155" t="s">
        <v>343</v>
      </c>
      <c r="M732" s="76"/>
      <c r="N732" s="922">
        <f>SUM(N728:N731)</f>
        <v>990</v>
      </c>
      <c r="O732" s="922"/>
    </row>
    <row r="733" spans="1:20">
      <c r="N733" s="21"/>
      <c r="O733" s="21"/>
    </row>
    <row r="734" spans="1:20">
      <c r="B734" t="s">
        <v>23</v>
      </c>
      <c r="F734" s="891">
        <f>$J$726</f>
        <v>10</v>
      </c>
      <c r="G734" s="910"/>
      <c r="H734" t="s">
        <v>13</v>
      </c>
      <c r="I734" s="48" t="s">
        <v>0</v>
      </c>
      <c r="J734" s="2">
        <f>$F$734</f>
        <v>10</v>
      </c>
      <c r="K734" t="s">
        <v>1</v>
      </c>
      <c r="L734" s="911">
        <f>N732*1</f>
        <v>990</v>
      </c>
      <c r="M734" s="912"/>
      <c r="N734" s="18"/>
      <c r="O734" s="18"/>
      <c r="P734" s="18"/>
      <c r="Q734" s="18"/>
      <c r="R734" s="29" t="s">
        <v>0</v>
      </c>
      <c r="S734" s="25" t="s">
        <v>11</v>
      </c>
      <c r="T734" s="57">
        <f>ROUND(J734*L734,0)</f>
        <v>9900</v>
      </c>
    </row>
    <row r="735" spans="1:20">
      <c r="F735" s="17"/>
      <c r="G735" s="16"/>
      <c r="I735" s="48"/>
      <c r="J735" s="2"/>
      <c r="L735" s="34"/>
      <c r="M735" s="33"/>
      <c r="N735" s="18"/>
      <c r="O735" s="18"/>
      <c r="P735" s="18"/>
      <c r="Q735" s="18"/>
      <c r="R735" s="18"/>
      <c r="S735" s="25"/>
      <c r="T735" s="57"/>
    </row>
    <row r="736" spans="1:20">
      <c r="F736" s="17"/>
      <c r="G736" s="16"/>
      <c r="I736" s="48"/>
      <c r="J736" s="2"/>
      <c r="L736" s="34"/>
      <c r="M736" s="33"/>
      <c r="N736" s="18"/>
      <c r="O736" s="18"/>
      <c r="P736" s="18"/>
      <c r="Q736" s="18"/>
      <c r="R736" s="18"/>
      <c r="S736" s="25"/>
      <c r="T736" s="57"/>
    </row>
    <row r="737" spans="1:20">
      <c r="F737" s="17"/>
      <c r="G737" s="16"/>
      <c r="I737" s="48"/>
      <c r="J737" s="2"/>
      <c r="L737" s="34"/>
      <c r="M737" s="33"/>
      <c r="N737" s="18"/>
      <c r="O737" s="18"/>
      <c r="P737" s="18"/>
      <c r="Q737" s="18"/>
      <c r="R737" s="18"/>
      <c r="S737" s="25"/>
      <c r="T737" s="57"/>
    </row>
    <row r="738" spans="1:20">
      <c r="A738" s="29" t="s">
        <v>70</v>
      </c>
      <c r="B738" t="s">
        <v>71</v>
      </c>
      <c r="F738" s="17"/>
      <c r="G738" s="16"/>
      <c r="I738" s="48"/>
      <c r="J738" s="2"/>
      <c r="L738" s="34"/>
      <c r="M738" s="33"/>
      <c r="N738" s="18"/>
      <c r="O738" s="18"/>
      <c r="P738" s="18"/>
      <c r="Q738" s="18"/>
      <c r="R738" s="18"/>
      <c r="S738" s="25"/>
      <c r="T738" s="57"/>
    </row>
    <row r="739" spans="1:20">
      <c r="B739" t="s">
        <v>72</v>
      </c>
      <c r="F739" s="17"/>
      <c r="G739" s="16"/>
      <c r="I739" s="48" t="s">
        <v>0</v>
      </c>
      <c r="J739" s="891">
        <f>K680*1</f>
        <v>104.86</v>
      </c>
      <c r="K739" s="891"/>
      <c r="L739" s="909" t="s">
        <v>272</v>
      </c>
      <c r="M739" s="909"/>
      <c r="N739" s="18"/>
      <c r="O739" s="18"/>
      <c r="P739" s="18"/>
      <c r="Q739" s="18"/>
      <c r="R739" s="18"/>
      <c r="S739" s="25"/>
      <c r="T739" s="57"/>
    </row>
    <row r="740" spans="1:20" ht="14.25">
      <c r="F740" s="886" t="s">
        <v>332</v>
      </c>
      <c r="G740" s="886"/>
      <c r="H740" s="910">
        <v>121.13</v>
      </c>
      <c r="I740" s="910"/>
      <c r="J740" s="67" t="s">
        <v>303</v>
      </c>
      <c r="L740" s="34"/>
      <c r="M740" s="33"/>
      <c r="N740" s="18"/>
      <c r="O740" s="18"/>
      <c r="P740" s="18"/>
      <c r="Q740" s="18"/>
      <c r="R740" s="29" t="s">
        <v>0</v>
      </c>
      <c r="S740" s="25" t="s">
        <v>11</v>
      </c>
      <c r="T740" s="57">
        <f>ROUND(J739*H740,0)</f>
        <v>12702</v>
      </c>
    </row>
    <row r="741" spans="1:20">
      <c r="F741" s="17"/>
      <c r="G741" s="16"/>
      <c r="I741" s="48"/>
      <c r="J741" s="2"/>
      <c r="L741" s="34"/>
      <c r="M741" s="33"/>
      <c r="N741" s="18"/>
      <c r="O741" s="18"/>
      <c r="P741" s="18"/>
      <c r="Q741" s="18"/>
      <c r="R741" s="18"/>
      <c r="S741" s="25"/>
      <c r="T741" s="57"/>
    </row>
    <row r="742" spans="1:20">
      <c r="B742" t="s">
        <v>74</v>
      </c>
      <c r="F742" s="17"/>
      <c r="G742" s="16"/>
      <c r="I742" s="48" t="s">
        <v>0</v>
      </c>
      <c r="J742" s="891">
        <f>K681*1</f>
        <v>22.8</v>
      </c>
      <c r="K742" s="891"/>
      <c r="L742" s="909" t="s">
        <v>272</v>
      </c>
      <c r="M742" s="909"/>
      <c r="N742" s="18"/>
      <c r="O742" s="18"/>
      <c r="P742" s="18"/>
      <c r="Q742" s="18"/>
      <c r="R742" s="18"/>
      <c r="S742" s="25"/>
      <c r="T742" s="57"/>
    </row>
    <row r="743" spans="1:20" ht="14.25">
      <c r="F743" s="886" t="s">
        <v>332</v>
      </c>
      <c r="G743" s="886"/>
      <c r="H743" s="891">
        <v>35.700000000000003</v>
      </c>
      <c r="I743" s="891"/>
      <c r="J743" s="67" t="s">
        <v>303</v>
      </c>
      <c r="L743" s="34"/>
      <c r="M743" s="33"/>
      <c r="N743" s="18"/>
      <c r="O743" s="18"/>
      <c r="P743" s="18"/>
      <c r="Q743" s="18"/>
      <c r="R743" s="35" t="s">
        <v>0</v>
      </c>
      <c r="S743" s="25" t="s">
        <v>11</v>
      </c>
      <c r="T743" s="57">
        <f>ROUND(J742*H743,0)</f>
        <v>814</v>
      </c>
    </row>
    <row r="744" spans="1:20">
      <c r="F744" s="8"/>
      <c r="G744" s="8"/>
      <c r="H744" s="17"/>
      <c r="I744" s="17"/>
      <c r="J744" s="67"/>
      <c r="L744" s="34"/>
      <c r="M744" s="33"/>
      <c r="N744" s="13"/>
      <c r="O744" s="13"/>
      <c r="P744" s="13"/>
      <c r="Q744" s="13"/>
      <c r="R744" s="32"/>
      <c r="S744" s="23"/>
      <c r="T744" s="27"/>
    </row>
    <row r="745" spans="1:20">
      <c r="O745" s="3"/>
      <c r="P745" s="920" t="s">
        <v>26</v>
      </c>
      <c r="Q745" s="920"/>
      <c r="R745" s="29" t="s">
        <v>0</v>
      </c>
      <c r="S745" s="49" t="s">
        <v>11</v>
      </c>
      <c r="T745" s="28">
        <f>SUM(T720:T744)</f>
        <v>316333</v>
      </c>
    </row>
    <row r="746" spans="1:20">
      <c r="O746" s="3"/>
      <c r="P746" s="118"/>
      <c r="Q746" s="118"/>
      <c r="R746" s="29"/>
      <c r="S746" s="49"/>
      <c r="T746" s="28"/>
    </row>
    <row r="747" spans="1:20">
      <c r="A747" s="130" t="s">
        <v>322</v>
      </c>
      <c r="B747" s="43" t="s">
        <v>320</v>
      </c>
      <c r="C747" s="43"/>
      <c r="D747" s="43"/>
      <c r="E747" s="43"/>
      <c r="F747" s="43"/>
      <c r="G747" s="43"/>
      <c r="H747" s="43"/>
      <c r="I747" s="43"/>
      <c r="J747" s="43"/>
      <c r="K747" s="43"/>
      <c r="L747" s="43"/>
      <c r="M747" s="43"/>
      <c r="N747" s="43"/>
      <c r="O747" s="131"/>
      <c r="P747" s="131"/>
      <c r="Q747" s="136"/>
      <c r="R747" s="35" t="s">
        <v>0</v>
      </c>
      <c r="S747" s="25" t="s">
        <v>11</v>
      </c>
      <c r="T747" s="132">
        <f>ROUND(T745*12.5%,0)</f>
        <v>39542</v>
      </c>
    </row>
    <row r="748" spans="1:20">
      <c r="A748" s="43"/>
      <c r="B748" s="43"/>
      <c r="C748" s="43"/>
      <c r="D748" s="43"/>
      <c r="E748" s="43"/>
      <c r="F748" s="43"/>
      <c r="G748" s="43"/>
      <c r="H748" s="43"/>
      <c r="I748" s="43"/>
      <c r="J748" s="43"/>
      <c r="K748" s="43"/>
      <c r="L748" s="43"/>
      <c r="M748" s="43"/>
      <c r="N748" s="63"/>
      <c r="O748" s="133"/>
      <c r="P748" s="133"/>
      <c r="Q748" s="133"/>
      <c r="R748" s="133"/>
      <c r="S748" s="134"/>
      <c r="T748" s="137"/>
    </row>
    <row r="749" spans="1:20">
      <c r="A749" s="43"/>
      <c r="B749" s="43"/>
      <c r="C749" s="43"/>
      <c r="D749" s="43"/>
      <c r="E749" s="43"/>
      <c r="F749" s="43"/>
      <c r="G749" s="43"/>
      <c r="H749" s="43"/>
      <c r="I749" s="43"/>
      <c r="J749" s="43"/>
      <c r="K749" s="43"/>
      <c r="L749" s="43"/>
      <c r="M749" s="43"/>
      <c r="N749" s="43"/>
      <c r="O749" s="919" t="s">
        <v>321</v>
      </c>
      <c r="P749" s="919"/>
      <c r="Q749" s="131"/>
      <c r="R749" s="35" t="s">
        <v>0</v>
      </c>
      <c r="S749" s="25" t="s">
        <v>11</v>
      </c>
      <c r="T749" s="135">
        <f>SUM(T745:T748)</f>
        <v>355875</v>
      </c>
    </row>
    <row r="750" spans="1:20">
      <c r="D750" s="38"/>
      <c r="E750" s="38"/>
      <c r="F750" s="38"/>
      <c r="G750" s="38"/>
      <c r="H750" s="38"/>
      <c r="I750" s="38"/>
      <c r="J750" s="38"/>
      <c r="L750" s="7"/>
      <c r="N750" s="105"/>
      <c r="O750" s="105"/>
      <c r="P750" s="106"/>
      <c r="Q750" s="107"/>
      <c r="R750" s="107"/>
      <c r="S750" s="3"/>
      <c r="T750" s="3"/>
    </row>
    <row r="751" spans="1:20">
      <c r="D751" s="38"/>
      <c r="E751" s="38"/>
      <c r="F751" s="38"/>
      <c r="G751" s="38"/>
      <c r="H751" s="38"/>
      <c r="I751" s="38"/>
      <c r="J751" s="38"/>
      <c r="L751" s="7"/>
      <c r="N751" s="105"/>
      <c r="O751" s="105"/>
      <c r="P751" s="106"/>
      <c r="Q751" s="107"/>
      <c r="R751" s="107"/>
      <c r="S751" s="3"/>
      <c r="T751" s="3"/>
    </row>
    <row r="752" spans="1:20">
      <c r="D752" s="38"/>
      <c r="E752" s="38"/>
      <c r="F752" s="38"/>
      <c r="G752" s="38"/>
      <c r="H752" s="38"/>
      <c r="I752" s="38"/>
      <c r="J752" s="38"/>
      <c r="L752" s="7"/>
      <c r="N752" s="105"/>
      <c r="O752" s="105"/>
      <c r="P752" s="106"/>
      <c r="Q752" s="107"/>
      <c r="R752" s="107"/>
      <c r="S752" s="3"/>
      <c r="T752" s="3"/>
    </row>
    <row r="753" spans="2:20">
      <c r="D753" s="38"/>
      <c r="E753" s="38"/>
      <c r="F753" s="38"/>
      <c r="G753" s="38"/>
      <c r="H753" s="38"/>
      <c r="I753" s="38"/>
      <c r="J753" s="38"/>
      <c r="L753" s="7"/>
      <c r="N753" s="105"/>
      <c r="O753" s="105"/>
      <c r="P753" s="106"/>
      <c r="Q753" s="107"/>
      <c r="R753" s="107"/>
      <c r="S753" s="3"/>
      <c r="T753" s="3"/>
    </row>
    <row r="754" spans="2:20">
      <c r="D754" s="38"/>
      <c r="E754" s="38"/>
      <c r="F754" s="38"/>
      <c r="G754" s="38"/>
      <c r="H754" s="38"/>
      <c r="I754" s="38"/>
      <c r="J754" s="38"/>
      <c r="L754" s="7"/>
      <c r="N754" s="105"/>
      <c r="O754" s="105"/>
      <c r="P754" s="106"/>
      <c r="Q754" s="107"/>
      <c r="R754" s="107"/>
      <c r="S754" s="3"/>
      <c r="T754" s="3"/>
    </row>
    <row r="755" spans="2:20">
      <c r="D755" s="38"/>
      <c r="E755" s="38"/>
      <c r="F755" s="38"/>
      <c r="G755" s="38"/>
      <c r="H755" s="38"/>
      <c r="I755" s="38"/>
      <c r="J755" s="38"/>
      <c r="L755" s="7"/>
      <c r="N755" s="105"/>
      <c r="O755" s="105"/>
      <c r="P755" s="106"/>
      <c r="Q755" s="107"/>
      <c r="R755" s="107"/>
      <c r="S755" s="3"/>
      <c r="T755" s="3"/>
    </row>
    <row r="756" spans="2:20">
      <c r="D756" s="38"/>
      <c r="E756" s="38"/>
      <c r="F756" s="38"/>
      <c r="G756" s="38"/>
      <c r="H756" s="38"/>
      <c r="I756" s="38"/>
      <c r="J756" s="38"/>
      <c r="L756" s="7"/>
      <c r="N756" s="105"/>
      <c r="O756" s="105"/>
      <c r="P756" s="106"/>
      <c r="Q756" s="107"/>
      <c r="R756" s="107"/>
      <c r="S756" s="3"/>
      <c r="T756" s="3"/>
    </row>
    <row r="757" spans="2:20">
      <c r="D757" s="38"/>
      <c r="E757" s="38"/>
      <c r="F757" s="38"/>
      <c r="G757" s="38"/>
      <c r="H757" s="38"/>
      <c r="I757" s="38"/>
      <c r="J757" s="38"/>
      <c r="L757" s="7"/>
      <c r="N757" s="105"/>
      <c r="O757" s="105"/>
      <c r="P757" s="106"/>
      <c r="Q757" s="107"/>
      <c r="R757" s="107"/>
      <c r="S757" s="3"/>
      <c r="T757" s="3"/>
    </row>
    <row r="758" spans="2:20">
      <c r="D758" s="38"/>
      <c r="E758" s="38"/>
      <c r="F758" s="38"/>
      <c r="G758" s="38"/>
      <c r="H758" s="38"/>
      <c r="I758" s="38"/>
      <c r="J758" s="38"/>
      <c r="L758" s="7"/>
      <c r="N758" s="105"/>
      <c r="O758" s="105"/>
      <c r="P758" s="106"/>
      <c r="Q758" s="107"/>
      <c r="R758" s="107"/>
      <c r="S758" s="3"/>
      <c r="T758" s="3"/>
    </row>
    <row r="759" spans="2:20">
      <c r="Q759" s="3"/>
      <c r="R759" s="3"/>
      <c r="S759" s="3"/>
      <c r="T759" s="3"/>
    </row>
    <row r="760" spans="2:20">
      <c r="Q760" s="3"/>
      <c r="R760" s="3"/>
      <c r="S760" s="3"/>
      <c r="T760" s="3"/>
    </row>
    <row r="761" spans="2:20">
      <c r="Q761" s="3"/>
      <c r="R761" s="3"/>
      <c r="S761" s="3"/>
      <c r="T761" s="3"/>
    </row>
    <row r="762" spans="2:20">
      <c r="Q762" s="3"/>
      <c r="R762" s="3"/>
      <c r="S762" s="3"/>
      <c r="T762" s="3"/>
    </row>
    <row r="763" spans="2:20">
      <c r="Q763" s="3"/>
      <c r="R763" s="3"/>
      <c r="S763" s="3"/>
      <c r="T763" s="3"/>
    </row>
    <row r="764" spans="2:20">
      <c r="Q764" s="3"/>
      <c r="R764" s="3"/>
      <c r="S764" s="3"/>
      <c r="T764" s="3"/>
    </row>
    <row r="768" spans="2:20">
      <c r="B768" s="921" t="s">
        <v>241</v>
      </c>
      <c r="C768" s="921"/>
      <c r="D768" s="921"/>
      <c r="E768" s="921"/>
      <c r="F768" s="921"/>
      <c r="G768" s="921"/>
      <c r="H768" s="921"/>
      <c r="I768" s="921"/>
      <c r="J768" s="921"/>
      <c r="K768" s="921"/>
      <c r="L768" s="921"/>
      <c r="N768" s="921" t="s">
        <v>238</v>
      </c>
      <c r="O768" s="921"/>
      <c r="P768" s="921"/>
      <c r="Q768" s="921"/>
      <c r="R768" s="921"/>
      <c r="S768" s="921"/>
      <c r="T768" s="921"/>
    </row>
    <row r="769" spans="2:20">
      <c r="B769" s="921" t="s">
        <v>235</v>
      </c>
      <c r="C769" s="921"/>
      <c r="D769" s="921"/>
      <c r="E769" s="921"/>
      <c r="F769" s="921"/>
      <c r="G769" s="921"/>
      <c r="H769" s="921"/>
      <c r="I769" s="921"/>
      <c r="J769" s="921"/>
      <c r="K769" s="921"/>
      <c r="L769" s="921"/>
      <c r="N769" s="921" t="s">
        <v>239</v>
      </c>
      <c r="O769" s="921"/>
      <c r="P769" s="921"/>
      <c r="Q769" s="921"/>
      <c r="R769" s="921"/>
      <c r="S769" s="921"/>
      <c r="T769" s="921"/>
    </row>
    <row r="770" spans="2:20">
      <c r="B770" s="921" t="s">
        <v>240</v>
      </c>
      <c r="C770" s="921"/>
      <c r="D770" s="921"/>
      <c r="E770" s="921"/>
      <c r="F770" s="921"/>
      <c r="G770" s="921"/>
      <c r="H770" s="921"/>
      <c r="I770" s="921"/>
      <c r="J770" s="921"/>
      <c r="K770" s="921"/>
      <c r="L770" s="921"/>
      <c r="N770" s="921" t="s">
        <v>240</v>
      </c>
      <c r="O770" s="921"/>
      <c r="P770" s="921"/>
      <c r="Q770" s="921"/>
      <c r="R770" s="921"/>
      <c r="S770" s="921"/>
      <c r="T770" s="921"/>
    </row>
  </sheetData>
  <mergeCells count="691">
    <mergeCell ref="J400:K400"/>
    <mergeCell ref="M682:N682"/>
    <mergeCell ref="M429:N429"/>
    <mergeCell ref="N729:O729"/>
    <mergeCell ref="N730:O730"/>
    <mergeCell ref="N515:T515"/>
    <mergeCell ref="B516:L516"/>
    <mergeCell ref="F478:G478"/>
    <mergeCell ref="F486:G486"/>
    <mergeCell ref="B517:L517"/>
    <mergeCell ref="N517:T517"/>
    <mergeCell ref="E451:F451"/>
    <mergeCell ref="N451:O451"/>
    <mergeCell ref="E443:F443"/>
    <mergeCell ref="N443:O443"/>
    <mergeCell ref="J444:K444"/>
    <mergeCell ref="L444:M444"/>
    <mergeCell ref="E439:F439"/>
    <mergeCell ref="N439:O439"/>
    <mergeCell ref="J440:K440"/>
    <mergeCell ref="L440:M440"/>
    <mergeCell ref="K429:L429"/>
    <mergeCell ref="J430:K430"/>
    <mergeCell ref="L430:M430"/>
    <mergeCell ref="M269:P269"/>
    <mergeCell ref="G269:J269"/>
    <mergeCell ref="B515:L515"/>
    <mergeCell ref="J485:K485"/>
    <mergeCell ref="J456:K456"/>
    <mergeCell ref="L456:M456"/>
    <mergeCell ref="N516:T516"/>
    <mergeCell ref="L400:M400"/>
    <mergeCell ref="H486:I486"/>
    <mergeCell ref="J488:K488"/>
    <mergeCell ref="F489:G489"/>
    <mergeCell ref="H489:I489"/>
    <mergeCell ref="P459:Q459"/>
    <mergeCell ref="P467:Q467"/>
    <mergeCell ref="L478:M478"/>
    <mergeCell ref="N476:O476"/>
    <mergeCell ref="J452:K452"/>
    <mergeCell ref="L452:M452"/>
    <mergeCell ref="E455:F455"/>
    <mergeCell ref="N455:O455"/>
    <mergeCell ref="N474:O474"/>
    <mergeCell ref="N475:O475"/>
    <mergeCell ref="C447:K447"/>
    <mergeCell ref="N449:O449"/>
    <mergeCell ref="P403:Q403"/>
    <mergeCell ref="P410:Q410"/>
    <mergeCell ref="B412:Q412"/>
    <mergeCell ref="K427:L427"/>
    <mergeCell ref="M427:N427"/>
    <mergeCell ref="K428:L428"/>
    <mergeCell ref="M428:N428"/>
    <mergeCell ref="M418:N418"/>
    <mergeCell ref="M424:N424"/>
    <mergeCell ref="H421:I421"/>
    <mergeCell ref="H422:I422"/>
    <mergeCell ref="J379:K379"/>
    <mergeCell ref="L379:M379"/>
    <mergeCell ref="B383:Q383"/>
    <mergeCell ref="O374:O375"/>
    <mergeCell ref="P374:P375"/>
    <mergeCell ref="Q374:Q375"/>
    <mergeCell ref="B376:B377"/>
    <mergeCell ref="C376:C377"/>
    <mergeCell ref="D376:D377"/>
    <mergeCell ref="E376:E377"/>
    <mergeCell ref="I376:I377"/>
    <mergeCell ref="J376:J377"/>
    <mergeCell ref="K376:K377"/>
    <mergeCell ref="K374:K375"/>
    <mergeCell ref="L374:L375"/>
    <mergeCell ref="L376:L377"/>
    <mergeCell ref="B374:B375"/>
    <mergeCell ref="C374:C375"/>
    <mergeCell ref="D374:D375"/>
    <mergeCell ref="E374:E375"/>
    <mergeCell ref="F374:F375"/>
    <mergeCell ref="G374:G375"/>
    <mergeCell ref="J367:K367"/>
    <mergeCell ref="L367:M367"/>
    <mergeCell ref="I364:I365"/>
    <mergeCell ref="J364:J365"/>
    <mergeCell ref="K364:K365"/>
    <mergeCell ref="L364:L365"/>
    <mergeCell ref="B371:Q371"/>
    <mergeCell ref="B372:B373"/>
    <mergeCell ref="C372:C373"/>
    <mergeCell ref="D372:D373"/>
    <mergeCell ref="E372:E373"/>
    <mergeCell ref="F372:F373"/>
    <mergeCell ref="G372:G373"/>
    <mergeCell ref="K372:K373"/>
    <mergeCell ref="L372:L373"/>
    <mergeCell ref="O372:O373"/>
    <mergeCell ref="P372:P373"/>
    <mergeCell ref="Q372:Q373"/>
    <mergeCell ref="B363:H363"/>
    <mergeCell ref="C364:C365"/>
    <mergeCell ref="D364:D365"/>
    <mergeCell ref="E364:E365"/>
    <mergeCell ref="G364:G365"/>
    <mergeCell ref="H364:H365"/>
    <mergeCell ref="L353:N353"/>
    <mergeCell ref="P354:Q354"/>
    <mergeCell ref="P360:Q360"/>
    <mergeCell ref="L362:N362"/>
    <mergeCell ref="O364:O365"/>
    <mergeCell ref="P364:P365"/>
    <mergeCell ref="Q364:Q365"/>
    <mergeCell ref="L350:L351"/>
    <mergeCell ref="O350:O351"/>
    <mergeCell ref="P350:P351"/>
    <mergeCell ref="Q350:Q351"/>
    <mergeCell ref="O346:O347"/>
    <mergeCell ref="P346:P347"/>
    <mergeCell ref="Q346:Q347"/>
    <mergeCell ref="B350:B351"/>
    <mergeCell ref="C350:C351"/>
    <mergeCell ref="D350:D351"/>
    <mergeCell ref="E350:E351"/>
    <mergeCell ref="F350:F351"/>
    <mergeCell ref="G350:G351"/>
    <mergeCell ref="K350:K351"/>
    <mergeCell ref="F346:F347"/>
    <mergeCell ref="G346:G347"/>
    <mergeCell ref="K346:K347"/>
    <mergeCell ref="L346:L347"/>
    <mergeCell ref="B346:B347"/>
    <mergeCell ref="C346:C347"/>
    <mergeCell ref="D346:D347"/>
    <mergeCell ref="E346:E347"/>
    <mergeCell ref="J340:K340"/>
    <mergeCell ref="L340:M340"/>
    <mergeCell ref="B343:Q343"/>
    <mergeCell ref="B344:Q344"/>
    <mergeCell ref="Q330:Q331"/>
    <mergeCell ref="J333:K333"/>
    <mergeCell ref="L333:M333"/>
    <mergeCell ref="B336:Q336"/>
    <mergeCell ref="M330:M331"/>
    <mergeCell ref="N330:N331"/>
    <mergeCell ref="O330:O331"/>
    <mergeCell ref="P330:P331"/>
    <mergeCell ref="O318:O319"/>
    <mergeCell ref="P318:P319"/>
    <mergeCell ref="Q318:Q319"/>
    <mergeCell ref="B330:B331"/>
    <mergeCell ref="C330:C331"/>
    <mergeCell ref="D330:D331"/>
    <mergeCell ref="E330:E331"/>
    <mergeCell ref="I330:I331"/>
    <mergeCell ref="K330:K331"/>
    <mergeCell ref="L330:L331"/>
    <mergeCell ref="F318:F319"/>
    <mergeCell ref="G318:G319"/>
    <mergeCell ref="K318:K319"/>
    <mergeCell ref="L318:L319"/>
    <mergeCell ref="B318:B319"/>
    <mergeCell ref="C318:C319"/>
    <mergeCell ref="D318:D319"/>
    <mergeCell ref="E318:E319"/>
    <mergeCell ref="L316:L317"/>
    <mergeCell ref="O316:O317"/>
    <mergeCell ref="G316:G317"/>
    <mergeCell ref="K316:K317"/>
    <mergeCell ref="P316:P317"/>
    <mergeCell ref="Q316:Q317"/>
    <mergeCell ref="P305:Q305"/>
    <mergeCell ref="P314:Q314"/>
    <mergeCell ref="B315:Q315"/>
    <mergeCell ref="B316:B317"/>
    <mergeCell ref="C316:C317"/>
    <mergeCell ref="D316:D317"/>
    <mergeCell ref="E316:E317"/>
    <mergeCell ref="F316:F317"/>
    <mergeCell ref="B297:Q297"/>
    <mergeCell ref="G302:H302"/>
    <mergeCell ref="I302:K302"/>
    <mergeCell ref="L302:M302"/>
    <mergeCell ref="P288:P289"/>
    <mergeCell ref="Q288:Q289"/>
    <mergeCell ref="J293:K293"/>
    <mergeCell ref="L293:M293"/>
    <mergeCell ref="N293:O293"/>
    <mergeCell ref="F276:F277"/>
    <mergeCell ref="G276:G277"/>
    <mergeCell ref="H276:H277"/>
    <mergeCell ref="I276:I277"/>
    <mergeCell ref="O276:O277"/>
    <mergeCell ref="B286:Q286"/>
    <mergeCell ref="B288:B289"/>
    <mergeCell ref="C288:C289"/>
    <mergeCell ref="D288:D289"/>
    <mergeCell ref="E288:E289"/>
    <mergeCell ref="I288:I289"/>
    <mergeCell ref="J288:J289"/>
    <mergeCell ref="K288:K289"/>
    <mergeCell ref="L288:L289"/>
    <mergeCell ref="O288:O289"/>
    <mergeCell ref="A268:T268"/>
    <mergeCell ref="B270:S270"/>
    <mergeCell ref="B272:Q272"/>
    <mergeCell ref="B273:Q273"/>
    <mergeCell ref="P276:P277"/>
    <mergeCell ref="Q276:Q277"/>
    <mergeCell ref="P96:Q96"/>
    <mergeCell ref="B242:L242"/>
    <mergeCell ref="N240:T240"/>
    <mergeCell ref="N241:T241"/>
    <mergeCell ref="N242:T242"/>
    <mergeCell ref="B241:L241"/>
    <mergeCell ref="B240:L240"/>
    <mergeCell ref="N202:O202"/>
    <mergeCell ref="N180:O180"/>
    <mergeCell ref="D195:E195"/>
    <mergeCell ref="M154:N154"/>
    <mergeCell ref="M155:N155"/>
    <mergeCell ref="N128:O128"/>
    <mergeCell ref="M144:N144"/>
    <mergeCell ref="B276:B277"/>
    <mergeCell ref="C276:C277"/>
    <mergeCell ref="D276:D277"/>
    <mergeCell ref="E276:E277"/>
    <mergeCell ref="Q86:Q87"/>
    <mergeCell ref="Q14:Q15"/>
    <mergeCell ref="B14:B15"/>
    <mergeCell ref="I40:K40"/>
    <mergeCell ref="H14:H15"/>
    <mergeCell ref="J26:J27"/>
    <mergeCell ref="K26:K27"/>
    <mergeCell ref="B35:Q35"/>
    <mergeCell ref="Q26:Q27"/>
    <mergeCell ref="C26:C27"/>
    <mergeCell ref="B26:B27"/>
    <mergeCell ref="F86:F87"/>
    <mergeCell ref="C14:C15"/>
    <mergeCell ref="P14:P15"/>
    <mergeCell ref="C86:C87"/>
    <mergeCell ref="L65:L66"/>
    <mergeCell ref="M65:M66"/>
    <mergeCell ref="G83:G84"/>
    <mergeCell ref="N65:N66"/>
    <mergeCell ref="C65:C66"/>
    <mergeCell ref="L83:L84"/>
    <mergeCell ref="K83:K84"/>
    <mergeCell ref="B72:Q72"/>
    <mergeCell ref="D65:D66"/>
    <mergeCell ref="I200:K200"/>
    <mergeCell ref="N200:O200"/>
    <mergeCell ref="L200:M200"/>
    <mergeCell ref="L198:M198"/>
    <mergeCell ref="L199:M199"/>
    <mergeCell ref="P86:P87"/>
    <mergeCell ref="K91:K92"/>
    <mergeCell ref="L91:L92"/>
    <mergeCell ref="L86:L87"/>
    <mergeCell ref="M89:N89"/>
    <mergeCell ref="O91:O92"/>
    <mergeCell ref="P91:P92"/>
    <mergeCell ref="O104:O105"/>
    <mergeCell ref="I91:I92"/>
    <mergeCell ref="O86:O87"/>
    <mergeCell ref="I199:K199"/>
    <mergeCell ref="C178:K178"/>
    <mergeCell ref="B195:C195"/>
    <mergeCell ref="E183:F183"/>
    <mergeCell ref="L169:M169"/>
    <mergeCell ref="N183:O183"/>
    <mergeCell ref="E168:F168"/>
    <mergeCell ref="J173:K173"/>
    <mergeCell ref="E187:F187"/>
    <mergeCell ref="E172:F172"/>
    <mergeCell ref="L188:M188"/>
    <mergeCell ref="L173:M173"/>
    <mergeCell ref="N199:O199"/>
    <mergeCell ref="N198:O198"/>
    <mergeCell ref="K86:K87"/>
    <mergeCell ref="G102:G103"/>
    <mergeCell ref="E104:E105"/>
    <mergeCell ref="P104:P105"/>
    <mergeCell ref="O102:O103"/>
    <mergeCell ref="N94:O94"/>
    <mergeCell ref="Q104:Q105"/>
    <mergeCell ref="H134:I134"/>
    <mergeCell ref="H135:I135"/>
    <mergeCell ref="B104:B105"/>
    <mergeCell ref="K102:K103"/>
    <mergeCell ref="L102:L103"/>
    <mergeCell ref="D104:D105"/>
    <mergeCell ref="J91:J92"/>
    <mergeCell ref="I106:I107"/>
    <mergeCell ref="K128:M128"/>
    <mergeCell ref="B113:Q113"/>
    <mergeCell ref="Q91:Q92"/>
    <mergeCell ref="G104:G105"/>
    <mergeCell ref="F104:F105"/>
    <mergeCell ref="B102:B103"/>
    <mergeCell ref="C102:C103"/>
    <mergeCell ref="E102:E103"/>
    <mergeCell ref="C104:C105"/>
    <mergeCell ref="F83:F84"/>
    <mergeCell ref="P65:P66"/>
    <mergeCell ref="K65:K66"/>
    <mergeCell ref="P83:P84"/>
    <mergeCell ref="Q83:Q84"/>
    <mergeCell ref="C83:C84"/>
    <mergeCell ref="D83:D84"/>
    <mergeCell ref="I65:I66"/>
    <mergeCell ref="E83:E84"/>
    <mergeCell ref="E65:E66"/>
    <mergeCell ref="B81:Q81"/>
    <mergeCell ref="B82:Q82"/>
    <mergeCell ref="B83:B84"/>
    <mergeCell ref="B65:B66"/>
    <mergeCell ref="O83:O84"/>
    <mergeCell ref="N68:O68"/>
    <mergeCell ref="O65:O66"/>
    <mergeCell ref="G55:G56"/>
    <mergeCell ref="K55:K56"/>
    <mergeCell ref="L40:M40"/>
    <mergeCell ref="B52:Q52"/>
    <mergeCell ref="G40:H40"/>
    <mergeCell ref="B53:B54"/>
    <mergeCell ref="C53:C54"/>
    <mergeCell ref="L55:L56"/>
    <mergeCell ref="B55:B56"/>
    <mergeCell ref="P55:P56"/>
    <mergeCell ref="L53:L54"/>
    <mergeCell ref="G53:G54"/>
    <mergeCell ref="D55:D56"/>
    <mergeCell ref="E55:E56"/>
    <mergeCell ref="F55:F56"/>
    <mergeCell ref="F53:F54"/>
    <mergeCell ref="K53:K54"/>
    <mergeCell ref="D53:D54"/>
    <mergeCell ref="E53:E54"/>
    <mergeCell ref="A3:T3"/>
    <mergeCell ref="B10:Q10"/>
    <mergeCell ref="P53:P54"/>
    <mergeCell ref="Q53:Q54"/>
    <mergeCell ref="L26:L27"/>
    <mergeCell ref="O26:O27"/>
    <mergeCell ref="P26:P27"/>
    <mergeCell ref="D26:D27"/>
    <mergeCell ref="O53:O54"/>
    <mergeCell ref="N31:O31"/>
    <mergeCell ref="P43:Q43"/>
    <mergeCell ref="P50:Q50"/>
    <mergeCell ref="I26:I27"/>
    <mergeCell ref="I14:I15"/>
    <mergeCell ref="E26:E27"/>
    <mergeCell ref="B24:Q24"/>
    <mergeCell ref="B7:S7"/>
    <mergeCell ref="D14:D15"/>
    <mergeCell ref="E14:E15"/>
    <mergeCell ref="F14:F15"/>
    <mergeCell ref="G14:G15"/>
    <mergeCell ref="B9:Q9"/>
    <mergeCell ref="B11:Q11"/>
    <mergeCell ref="O14:O15"/>
    <mergeCell ref="F216:G216"/>
    <mergeCell ref="B101:Q101"/>
    <mergeCell ref="D102:D103"/>
    <mergeCell ref="F102:F103"/>
    <mergeCell ref="N168:O168"/>
    <mergeCell ref="J169:K169"/>
    <mergeCell ref="B86:B87"/>
    <mergeCell ref="B90:H90"/>
    <mergeCell ref="C91:C92"/>
    <mergeCell ref="D91:D92"/>
    <mergeCell ref="E91:E92"/>
    <mergeCell ref="G91:G92"/>
    <mergeCell ref="H91:H92"/>
    <mergeCell ref="G86:G87"/>
    <mergeCell ref="E86:E87"/>
    <mergeCell ref="D86:D87"/>
    <mergeCell ref="L201:M201"/>
    <mergeCell ref="P99:Q99"/>
    <mergeCell ref="P151:Q151"/>
    <mergeCell ref="P165:Q165"/>
    <mergeCell ref="P180:Q180"/>
    <mergeCell ref="P102:P103"/>
    <mergeCell ref="Q102:Q103"/>
    <mergeCell ref="K94:M94"/>
    <mergeCell ref="H213:I213"/>
    <mergeCell ref="L157:M157"/>
    <mergeCell ref="P147:Q147"/>
    <mergeCell ref="N172:O172"/>
    <mergeCell ref="J106:J107"/>
    <mergeCell ref="D106:D107"/>
    <mergeCell ref="E106:E107"/>
    <mergeCell ref="M138:N138"/>
    <mergeCell ref="B132:Q132"/>
    <mergeCell ref="B106:B107"/>
    <mergeCell ref="N165:O165"/>
    <mergeCell ref="M156:N156"/>
    <mergeCell ref="N109:O109"/>
    <mergeCell ref="K109:M109"/>
    <mergeCell ref="C106:C107"/>
    <mergeCell ref="K155:L155"/>
    <mergeCell ref="H142:I142"/>
    <mergeCell ref="H143:I143"/>
    <mergeCell ref="H136:I136"/>
    <mergeCell ref="H137:I137"/>
    <mergeCell ref="H141:I141"/>
    <mergeCell ref="K154:L154"/>
    <mergeCell ref="I201:K201"/>
    <mergeCell ref="I198:K198"/>
    <mergeCell ref="P491:Q491"/>
    <mergeCell ref="O495:P495"/>
    <mergeCell ref="G525:J525"/>
    <mergeCell ref="M525:P525"/>
    <mergeCell ref="A524:T524"/>
    <mergeCell ref="C435:K435"/>
    <mergeCell ref="P532:P533"/>
    <mergeCell ref="Q532:Q533"/>
    <mergeCell ref="B532:B533"/>
    <mergeCell ref="C532:C533"/>
    <mergeCell ref="D532:D533"/>
    <mergeCell ref="E532:E533"/>
    <mergeCell ref="L488:M488"/>
    <mergeCell ref="K544:K545"/>
    <mergeCell ref="L544:L545"/>
    <mergeCell ref="O544:O545"/>
    <mergeCell ref="P544:P545"/>
    <mergeCell ref="Q544:Q545"/>
    <mergeCell ref="I532:I533"/>
    <mergeCell ref="O532:O533"/>
    <mergeCell ref="B526:S526"/>
    <mergeCell ref="B528:Q528"/>
    <mergeCell ref="B529:Q529"/>
    <mergeCell ref="B530:Q530"/>
    <mergeCell ref="F532:F533"/>
    <mergeCell ref="G532:G533"/>
    <mergeCell ref="H532:H533"/>
    <mergeCell ref="J538:K538"/>
    <mergeCell ref="L538:M538"/>
    <mergeCell ref="N538:O538"/>
    <mergeCell ref="B542:Q542"/>
    <mergeCell ref="B544:B545"/>
    <mergeCell ref="C544:C545"/>
    <mergeCell ref="D544:D545"/>
    <mergeCell ref="E544:E545"/>
    <mergeCell ref="I544:I545"/>
    <mergeCell ref="J544:J545"/>
    <mergeCell ref="J549:K549"/>
    <mergeCell ref="L549:M549"/>
    <mergeCell ref="N549:O549"/>
    <mergeCell ref="B553:Q553"/>
    <mergeCell ref="G569:G570"/>
    <mergeCell ref="G558:H558"/>
    <mergeCell ref="I558:K558"/>
    <mergeCell ref="L558:M558"/>
    <mergeCell ref="P561:Q561"/>
    <mergeCell ref="P567:Q567"/>
    <mergeCell ref="B568:Q568"/>
    <mergeCell ref="B571:B572"/>
    <mergeCell ref="C571:C572"/>
    <mergeCell ref="D571:D572"/>
    <mergeCell ref="E571:E572"/>
    <mergeCell ref="F571:F572"/>
    <mergeCell ref="B569:B570"/>
    <mergeCell ref="C569:C570"/>
    <mergeCell ref="D569:D570"/>
    <mergeCell ref="E569:E570"/>
    <mergeCell ref="F569:F570"/>
    <mergeCell ref="L571:L572"/>
    <mergeCell ref="O571:O572"/>
    <mergeCell ref="P571:P572"/>
    <mergeCell ref="Q571:Q572"/>
    <mergeCell ref="K569:K570"/>
    <mergeCell ref="L569:L570"/>
    <mergeCell ref="O569:O570"/>
    <mergeCell ref="P569:P570"/>
    <mergeCell ref="Q569:Q570"/>
    <mergeCell ref="O600:O601"/>
    <mergeCell ref="P600:P601"/>
    <mergeCell ref="Q600:Q601"/>
    <mergeCell ref="J585:K585"/>
    <mergeCell ref="L585:M585"/>
    <mergeCell ref="B589:Q589"/>
    <mergeCell ref="M582:M583"/>
    <mergeCell ref="N582:N583"/>
    <mergeCell ref="O582:O583"/>
    <mergeCell ref="P582:P583"/>
    <mergeCell ref="B582:B583"/>
    <mergeCell ref="L593:M593"/>
    <mergeCell ref="J593:K593"/>
    <mergeCell ref="C582:C583"/>
    <mergeCell ref="D582:D583"/>
    <mergeCell ref="E582:E583"/>
    <mergeCell ref="I582:I583"/>
    <mergeCell ref="K582:K583"/>
    <mergeCell ref="L582:L583"/>
    <mergeCell ref="Q582:Q583"/>
    <mergeCell ref="O604:O605"/>
    <mergeCell ref="P604:P605"/>
    <mergeCell ref="O617:O618"/>
    <mergeCell ref="P617:P618"/>
    <mergeCell ref="L607:N607"/>
    <mergeCell ref="P608:Q608"/>
    <mergeCell ref="P613:Q613"/>
    <mergeCell ref="L615:N615"/>
    <mergeCell ref="B597:Q597"/>
    <mergeCell ref="B598:Q598"/>
    <mergeCell ref="B600:B601"/>
    <mergeCell ref="C600:C601"/>
    <mergeCell ref="D600:D601"/>
    <mergeCell ref="E600:E601"/>
    <mergeCell ref="F600:F601"/>
    <mergeCell ref="G600:G601"/>
    <mergeCell ref="B604:B605"/>
    <mergeCell ref="C604:C605"/>
    <mergeCell ref="D604:D605"/>
    <mergeCell ref="E604:E605"/>
    <mergeCell ref="F604:F605"/>
    <mergeCell ref="Q604:Q605"/>
    <mergeCell ref="K600:K601"/>
    <mergeCell ref="L600:L601"/>
    <mergeCell ref="O627:O628"/>
    <mergeCell ref="K629:K630"/>
    <mergeCell ref="L629:L630"/>
    <mergeCell ref="B627:B628"/>
    <mergeCell ref="C627:C628"/>
    <mergeCell ref="D627:D628"/>
    <mergeCell ref="E627:E628"/>
    <mergeCell ref="F627:F628"/>
    <mergeCell ref="Q617:Q618"/>
    <mergeCell ref="J620:K620"/>
    <mergeCell ref="L620:M620"/>
    <mergeCell ref="B624:Q624"/>
    <mergeCell ref="B625:B626"/>
    <mergeCell ref="Q627:Q628"/>
    <mergeCell ref="K625:K626"/>
    <mergeCell ref="L625:L626"/>
    <mergeCell ref="O625:O626"/>
    <mergeCell ref="P625:P626"/>
    <mergeCell ref="C625:C626"/>
    <mergeCell ref="D625:D626"/>
    <mergeCell ref="E625:E626"/>
    <mergeCell ref="F625:F626"/>
    <mergeCell ref="G625:G626"/>
    <mergeCell ref="I617:I618"/>
    <mergeCell ref="J632:K632"/>
    <mergeCell ref="L632:M632"/>
    <mergeCell ref="B636:Q636"/>
    <mergeCell ref="P654:Q654"/>
    <mergeCell ref="L651:M651"/>
    <mergeCell ref="C688:K688"/>
    <mergeCell ref="N690:O690"/>
    <mergeCell ref="N692:O692"/>
    <mergeCell ref="K680:L680"/>
    <mergeCell ref="M680:N680"/>
    <mergeCell ref="K681:L681"/>
    <mergeCell ref="M681:N681"/>
    <mergeCell ref="K682:L682"/>
    <mergeCell ref="L705:M705"/>
    <mergeCell ref="N728:O728"/>
    <mergeCell ref="N731:O731"/>
    <mergeCell ref="J709:K709"/>
    <mergeCell ref="L709:M709"/>
    <mergeCell ref="N708:O708"/>
    <mergeCell ref="G730:H730"/>
    <mergeCell ref="G731:H731"/>
    <mergeCell ref="P663:Q663"/>
    <mergeCell ref="B665:Q665"/>
    <mergeCell ref="E704:F704"/>
    <mergeCell ref="N704:O704"/>
    <mergeCell ref="J693:K693"/>
    <mergeCell ref="L693:M693"/>
    <mergeCell ref="E696:F696"/>
    <mergeCell ref="N696:O696"/>
    <mergeCell ref="L697:M697"/>
    <mergeCell ref="B729:F729"/>
    <mergeCell ref="B728:F728"/>
    <mergeCell ref="B730:F730"/>
    <mergeCell ref="B731:F731"/>
    <mergeCell ref="P218:Q218"/>
    <mergeCell ref="L212:M212"/>
    <mergeCell ref="I629:I630"/>
    <mergeCell ref="J629:J630"/>
    <mergeCell ref="Q625:Q626"/>
    <mergeCell ref="B770:L770"/>
    <mergeCell ref="N770:T770"/>
    <mergeCell ref="B768:L768"/>
    <mergeCell ref="N768:T768"/>
    <mergeCell ref="B769:L769"/>
    <mergeCell ref="N769:T769"/>
    <mergeCell ref="N732:O732"/>
    <mergeCell ref="F734:G734"/>
    <mergeCell ref="L734:M734"/>
    <mergeCell ref="J739:K739"/>
    <mergeCell ref="H743:I743"/>
    <mergeCell ref="L742:M742"/>
    <mergeCell ref="F743:G743"/>
    <mergeCell ref="G732:H732"/>
    <mergeCell ref="H740:I740"/>
    <mergeCell ref="J742:K742"/>
    <mergeCell ref="L739:M739"/>
    <mergeCell ref="P745:Q745"/>
    <mergeCell ref="O749:P749"/>
    <mergeCell ref="H216:I216"/>
    <mergeCell ref="J212:K212"/>
    <mergeCell ref="F213:G213"/>
    <mergeCell ref="L215:M215"/>
    <mergeCell ref="P206:Q206"/>
    <mergeCell ref="L683:M683"/>
    <mergeCell ref="B5:S5"/>
    <mergeCell ref="K68:M68"/>
    <mergeCell ref="K77:M77"/>
    <mergeCell ref="K31:M31"/>
    <mergeCell ref="K20:M20"/>
    <mergeCell ref="N20:O20"/>
    <mergeCell ref="Q55:Q56"/>
    <mergeCell ref="O55:O56"/>
    <mergeCell ref="C55:C56"/>
    <mergeCell ref="J184:K184"/>
    <mergeCell ref="L184:M184"/>
    <mergeCell ref="L104:L105"/>
    <mergeCell ref="K104:K105"/>
    <mergeCell ref="K106:K107"/>
    <mergeCell ref="L106:L107"/>
    <mergeCell ref="K156:L156"/>
    <mergeCell ref="J157:K157"/>
    <mergeCell ref="O222:P222"/>
    <mergeCell ref="C617:C618"/>
    <mergeCell ref="D617:D618"/>
    <mergeCell ref="E617:E618"/>
    <mergeCell ref="G617:G618"/>
    <mergeCell ref="H617:H618"/>
    <mergeCell ref="L202:M202"/>
    <mergeCell ref="J188:K188"/>
    <mergeCell ref="N187:O187"/>
    <mergeCell ref="N201:O201"/>
    <mergeCell ref="J282:K282"/>
    <mergeCell ref="L282:M282"/>
    <mergeCell ref="N282:O282"/>
    <mergeCell ref="B274:Q274"/>
    <mergeCell ref="L485:M485"/>
    <mergeCell ref="H414:I414"/>
    <mergeCell ref="H415:I415"/>
    <mergeCell ref="H416:I416"/>
    <mergeCell ref="H417:I417"/>
    <mergeCell ref="H423:I423"/>
    <mergeCell ref="N437:O437"/>
    <mergeCell ref="F204:G204"/>
    <mergeCell ref="L204:M204"/>
    <mergeCell ref="J215:K215"/>
    <mergeCell ref="P209:Q209"/>
    <mergeCell ref="G604:G605"/>
    <mergeCell ref="K604:K605"/>
    <mergeCell ref="L604:L605"/>
    <mergeCell ref="G571:G572"/>
    <mergeCell ref="K571:K572"/>
    <mergeCell ref="P712:Q712"/>
    <mergeCell ref="P720:Q720"/>
    <mergeCell ref="N702:O702"/>
    <mergeCell ref="P627:P628"/>
    <mergeCell ref="M671:N671"/>
    <mergeCell ref="M677:N677"/>
    <mergeCell ref="H667:I667"/>
    <mergeCell ref="H668:I668"/>
    <mergeCell ref="J617:J618"/>
    <mergeCell ref="K617:K618"/>
    <mergeCell ref="L617:L618"/>
    <mergeCell ref="B616:H616"/>
    <mergeCell ref="B629:B630"/>
    <mergeCell ref="C629:C630"/>
    <mergeCell ref="D629:D630"/>
    <mergeCell ref="E629:E630"/>
    <mergeCell ref="G627:G628"/>
    <mergeCell ref="K627:K628"/>
    <mergeCell ref="L627:L628"/>
    <mergeCell ref="B732:F732"/>
    <mergeCell ref="G728:H728"/>
    <mergeCell ref="G729:H729"/>
    <mergeCell ref="F740:G740"/>
    <mergeCell ref="H669:I669"/>
    <mergeCell ref="H670:I670"/>
    <mergeCell ref="H674:I674"/>
    <mergeCell ref="H675:I675"/>
    <mergeCell ref="H676:I676"/>
    <mergeCell ref="E708:F708"/>
    <mergeCell ref="C700:K700"/>
    <mergeCell ref="J683:K683"/>
    <mergeCell ref="J697:K697"/>
    <mergeCell ref="E692:F692"/>
    <mergeCell ref="J705:K705"/>
  </mergeCells>
  <phoneticPr fontId="5" type="noConversion"/>
  <pageMargins left="0.9" right="0.3" top="0.5" bottom="0.4" header="0.3" footer="0.25"/>
  <pageSetup orientation="portrait" horizontalDpi="4294967294" verticalDpi="180" r:id="rId1"/>
  <headerFooter alignWithMargins="0"/>
</worksheet>
</file>

<file path=xl/worksheets/sheet10.xml><?xml version="1.0" encoding="utf-8"?>
<worksheet xmlns="http://schemas.openxmlformats.org/spreadsheetml/2006/main" xmlns:r="http://schemas.openxmlformats.org/officeDocument/2006/relationships">
  <dimension ref="A1:J30"/>
  <sheetViews>
    <sheetView topLeftCell="A10" workbookViewId="0">
      <selection activeCell="N14" sqref="N14"/>
    </sheetView>
  </sheetViews>
  <sheetFormatPr defaultRowHeight="12.75"/>
  <cols>
    <col min="1" max="1" width="6.5703125" style="546" customWidth="1"/>
    <col min="2" max="2" width="23.42578125" style="546" customWidth="1"/>
    <col min="3" max="3" width="8" style="546" customWidth="1"/>
    <col min="4" max="4" width="3.5703125" style="546" customWidth="1"/>
    <col min="5" max="5" width="4" style="546" customWidth="1"/>
    <col min="6" max="6" width="2" style="546" customWidth="1"/>
    <col min="7" max="7" width="9.28515625" style="546" customWidth="1"/>
    <col min="8" max="8" width="9.85546875" style="546" customWidth="1"/>
    <col min="9" max="9" width="10" style="546" customWidth="1"/>
    <col min="10" max="10" width="10.140625" style="546" customWidth="1"/>
    <col min="11" max="16384" width="9.140625" style="546"/>
  </cols>
  <sheetData>
    <row r="1" spans="1:10" s="657" customFormat="1" ht="15">
      <c r="B1" s="1111" t="s">
        <v>552</v>
      </c>
      <c r="C1" s="1111"/>
      <c r="D1" s="1111"/>
      <c r="E1" s="1111"/>
      <c r="F1" s="1111"/>
      <c r="G1" s="1111"/>
      <c r="H1" s="1111"/>
      <c r="I1" s="1111"/>
    </row>
    <row r="3" spans="1:10" s="658" customFormat="1" ht="14.25">
      <c r="A3" s="658" t="s">
        <v>576</v>
      </c>
    </row>
    <row r="4" spans="1:10" s="658" customFormat="1" ht="14.25"/>
    <row r="5" spans="1:10" ht="14.25">
      <c r="A5" s="658" t="s">
        <v>553</v>
      </c>
      <c r="C5" s="658" t="s">
        <v>575</v>
      </c>
    </row>
    <row r="6" spans="1:10">
      <c r="A6" s="43"/>
    </row>
    <row r="7" spans="1:10" ht="14.25">
      <c r="A7" s="1112" t="s">
        <v>554</v>
      </c>
      <c r="B7" s="1112" t="s">
        <v>555</v>
      </c>
      <c r="C7" s="1114" t="s">
        <v>556</v>
      </c>
      <c r="D7" s="1115"/>
      <c r="E7" s="1115"/>
      <c r="F7" s="1116"/>
      <c r="G7" s="1114" t="s">
        <v>557</v>
      </c>
      <c r="H7" s="1116"/>
      <c r="I7" s="659" t="s">
        <v>558</v>
      </c>
      <c r="J7" s="659" t="s">
        <v>558</v>
      </c>
    </row>
    <row r="8" spans="1:10" ht="14.25">
      <c r="A8" s="1113"/>
      <c r="B8" s="1113"/>
      <c r="C8" s="1117" t="s">
        <v>559</v>
      </c>
      <c r="D8" s="1118"/>
      <c r="E8" s="1118"/>
      <c r="F8" s="1119"/>
      <c r="G8" s="1117" t="s">
        <v>560</v>
      </c>
      <c r="H8" s="1119"/>
      <c r="I8" s="660" t="s">
        <v>561</v>
      </c>
      <c r="J8" s="660" t="s">
        <v>562</v>
      </c>
    </row>
    <row r="9" spans="1:10" ht="14.25">
      <c r="A9" s="1120" t="s">
        <v>564</v>
      </c>
      <c r="B9" s="1127" t="s">
        <v>565</v>
      </c>
      <c r="C9" s="1122" t="e">
        <f>uTILISATION!I6*1</f>
        <v>#REF!</v>
      </c>
      <c r="D9" s="1123"/>
      <c r="E9" s="1109" t="s">
        <v>544</v>
      </c>
      <c r="F9" s="1095"/>
      <c r="G9" s="661" t="s">
        <v>563</v>
      </c>
      <c r="H9" s="662">
        <v>0.86</v>
      </c>
      <c r="I9" s="663" t="e">
        <f>H9*C9</f>
        <v>#REF!</v>
      </c>
      <c r="J9" s="664"/>
    </row>
    <row r="10" spans="1:10" ht="14.25">
      <c r="A10" s="1121"/>
      <c r="B10" s="1128"/>
      <c r="C10" s="1124"/>
      <c r="D10" s="1125"/>
      <c r="E10" s="1110"/>
      <c r="F10" s="1096"/>
      <c r="G10" s="665" t="s">
        <v>566</v>
      </c>
      <c r="H10" s="666">
        <v>0.5</v>
      </c>
      <c r="I10" s="667"/>
      <c r="J10" s="660" t="e">
        <f>H10*C9</f>
        <v>#REF!</v>
      </c>
    </row>
    <row r="11" spans="1:10" ht="14.25">
      <c r="A11" s="1120" t="s">
        <v>567</v>
      </c>
      <c r="B11" s="668" t="s">
        <v>568</v>
      </c>
      <c r="C11" s="1122">
        <f>uTILISATION!I8*1</f>
        <v>266.38</v>
      </c>
      <c r="D11" s="1123"/>
      <c r="E11" s="1109" t="s">
        <v>544</v>
      </c>
      <c r="F11" s="1095"/>
      <c r="G11" s="661"/>
      <c r="H11" s="662"/>
      <c r="I11" s="663"/>
      <c r="J11" s="664"/>
    </row>
    <row r="12" spans="1:10" ht="14.25">
      <c r="A12" s="1121"/>
      <c r="B12" s="669" t="s">
        <v>569</v>
      </c>
      <c r="C12" s="1124"/>
      <c r="D12" s="1125"/>
      <c r="E12" s="1110"/>
      <c r="F12" s="1096"/>
      <c r="G12" s="665" t="s">
        <v>566</v>
      </c>
      <c r="H12" s="670">
        <v>1.4E-2</v>
      </c>
      <c r="I12" s="667"/>
      <c r="J12" s="671">
        <f>H12*C11</f>
        <v>3.72932</v>
      </c>
    </row>
    <row r="13" spans="1:10" ht="14.25">
      <c r="A13" s="672"/>
      <c r="B13" s="673"/>
      <c r="C13" s="673"/>
      <c r="D13" s="673"/>
      <c r="E13" s="673"/>
      <c r="F13" s="673"/>
      <c r="G13" s="673"/>
      <c r="H13" s="674" t="s">
        <v>549</v>
      </c>
      <c r="I13" s="675" t="e">
        <f>SUM(I9:I12)</f>
        <v>#REF!</v>
      </c>
      <c r="J13" s="676" t="e">
        <f>SUM(J9:J12)</f>
        <v>#REF!</v>
      </c>
    </row>
    <row r="14" spans="1:10" ht="14.25">
      <c r="A14" s="658"/>
      <c r="B14" s="658"/>
      <c r="C14" s="658"/>
      <c r="D14" s="658"/>
      <c r="E14" s="658"/>
      <c r="F14" s="658"/>
      <c r="G14" s="658"/>
      <c r="H14" s="658"/>
      <c r="I14" s="658"/>
      <c r="J14" s="658"/>
    </row>
    <row r="15" spans="1:10" ht="14.25">
      <c r="A15" s="658"/>
      <c r="B15" s="658"/>
      <c r="C15" s="658"/>
      <c r="D15" s="658"/>
      <c r="E15" s="658"/>
      <c r="F15" s="658"/>
      <c r="G15" s="658"/>
      <c r="H15" s="658"/>
      <c r="I15" s="658"/>
      <c r="J15" s="658"/>
    </row>
    <row r="16" spans="1:10" ht="14.25">
      <c r="A16" s="658"/>
      <c r="B16" s="658"/>
      <c r="C16" s="658"/>
      <c r="D16" s="658"/>
      <c r="E16" s="658"/>
      <c r="F16" s="658"/>
      <c r="G16" s="658"/>
      <c r="H16" s="658"/>
      <c r="I16" s="658"/>
      <c r="J16" s="658"/>
    </row>
    <row r="17" spans="1:10" ht="16.5">
      <c r="A17" s="658"/>
      <c r="B17" s="677" t="s">
        <v>570</v>
      </c>
      <c r="C17" s="658" t="e">
        <f>I13*1</f>
        <v>#REF!</v>
      </c>
      <c r="D17" s="658" t="s">
        <v>544</v>
      </c>
      <c r="E17" s="658"/>
      <c r="F17" s="658"/>
      <c r="G17" s="658"/>
      <c r="H17" s="658"/>
      <c r="I17" s="658"/>
      <c r="J17" s="658"/>
    </row>
    <row r="18" spans="1:10" ht="14.25">
      <c r="A18" s="658"/>
      <c r="B18" s="678" t="s">
        <v>332</v>
      </c>
      <c r="C18" s="679">
        <v>80</v>
      </c>
      <c r="D18" s="680" t="s">
        <v>571</v>
      </c>
      <c r="E18" s="658"/>
      <c r="F18" s="658"/>
      <c r="G18" s="658"/>
      <c r="H18" s="679" t="e">
        <f>C17*C18</f>
        <v>#REF!</v>
      </c>
      <c r="I18" s="658"/>
      <c r="J18" s="658"/>
    </row>
    <row r="19" spans="1:10" ht="14.25">
      <c r="A19" s="658"/>
      <c r="B19" s="658"/>
      <c r="C19" s="658"/>
      <c r="D19" s="658"/>
      <c r="E19" s="658"/>
      <c r="F19" s="658"/>
      <c r="G19" s="658"/>
      <c r="H19" s="658"/>
      <c r="I19" s="658"/>
      <c r="J19" s="658"/>
    </row>
    <row r="20" spans="1:10" ht="16.5">
      <c r="A20" s="658"/>
      <c r="B20" s="677" t="s">
        <v>572</v>
      </c>
      <c r="C20" s="679" t="e">
        <f>J13*1</f>
        <v>#REF!</v>
      </c>
      <c r="D20" s="658" t="s">
        <v>544</v>
      </c>
      <c r="E20" s="658"/>
      <c r="F20" s="658"/>
      <c r="G20" s="658"/>
      <c r="H20" s="658"/>
      <c r="I20" s="658"/>
      <c r="J20" s="658"/>
    </row>
    <row r="21" spans="1:10" ht="14.25">
      <c r="A21" s="658"/>
      <c r="B21" s="678" t="s">
        <v>332</v>
      </c>
      <c r="C21" s="679">
        <v>80</v>
      </c>
      <c r="D21" s="680" t="s">
        <v>571</v>
      </c>
      <c r="E21" s="658"/>
      <c r="F21" s="658"/>
      <c r="G21" s="658"/>
      <c r="H21" s="679" t="e">
        <f>C20*C21</f>
        <v>#REF!</v>
      </c>
      <c r="I21" s="658"/>
      <c r="J21" s="658"/>
    </row>
    <row r="22" spans="1:10" ht="14.25">
      <c r="A22" s="658"/>
      <c r="B22" s="658"/>
      <c r="C22" s="658"/>
      <c r="D22" s="658"/>
      <c r="E22" s="658"/>
      <c r="F22" s="658"/>
      <c r="G22" s="658"/>
      <c r="H22" s="658"/>
      <c r="I22" s="658"/>
      <c r="J22" s="658"/>
    </row>
    <row r="30" spans="1:10" s="658" customFormat="1" ht="15">
      <c r="B30" s="657" t="s">
        <v>550</v>
      </c>
      <c r="C30" s="1126" t="s">
        <v>573</v>
      </c>
      <c r="D30" s="1126"/>
      <c r="E30" s="1126"/>
      <c r="F30" s="657"/>
      <c r="G30" s="657"/>
      <c r="H30" s="657" t="s">
        <v>574</v>
      </c>
      <c r="I30" s="657"/>
    </row>
  </sheetData>
  <mergeCells count="15">
    <mergeCell ref="A11:A12"/>
    <mergeCell ref="C11:D12"/>
    <mergeCell ref="E11:F12"/>
    <mergeCell ref="C30:E30"/>
    <mergeCell ref="A9:A10"/>
    <mergeCell ref="B9:B10"/>
    <mergeCell ref="C9:D10"/>
    <mergeCell ref="E9:F10"/>
    <mergeCell ref="B1:I1"/>
    <mergeCell ref="A7:A8"/>
    <mergeCell ref="B7:B8"/>
    <mergeCell ref="C7:F7"/>
    <mergeCell ref="G7:H7"/>
    <mergeCell ref="C8:F8"/>
    <mergeCell ref="G8:H8"/>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A1:U605"/>
  <sheetViews>
    <sheetView workbookViewId="0">
      <selection activeCell="A163" sqref="A163"/>
    </sheetView>
  </sheetViews>
  <sheetFormatPr defaultRowHeight="12.75"/>
  <cols>
    <col min="1" max="1" width="6.85546875" customWidth="1"/>
    <col min="2" max="2" width="9.7109375" customWidth="1"/>
    <col min="3" max="3" width="2.140625" customWidth="1"/>
    <col min="4" max="4" width="2" customWidth="1"/>
    <col min="5" max="5" width="2.140625" customWidth="1"/>
    <col min="6" max="6" width="5.42578125" customWidth="1"/>
    <col min="7" max="7" width="1.85546875" customWidth="1"/>
    <col min="8" max="8" width="5.42578125" customWidth="1"/>
    <col min="9" max="9" width="1.85546875" customWidth="1"/>
    <col min="10" max="10" width="5.42578125" customWidth="1"/>
    <col min="11" max="11" width="2" customWidth="1"/>
    <col min="12" max="12" width="5.7109375" customWidth="1"/>
    <col min="13" max="13" width="1.85546875" customWidth="1"/>
    <col min="14" max="14" width="5.42578125" customWidth="1"/>
    <col min="15" max="15" width="2.140625" customWidth="1"/>
    <col min="16" max="16" width="9.28515625" customWidth="1"/>
    <col min="17" max="17" width="3.5703125" customWidth="1"/>
    <col min="18" max="18" width="4.140625" customWidth="1"/>
    <col min="19" max="19" width="3" customWidth="1"/>
    <col min="20" max="20" width="13.7109375" customWidth="1"/>
  </cols>
  <sheetData>
    <row r="1" spans="1:20">
      <c r="P1" s="3" t="s">
        <v>257</v>
      </c>
    </row>
    <row r="2" spans="1:20" ht="14.25" customHeight="1">
      <c r="A2" s="914" t="s">
        <v>83</v>
      </c>
      <c r="B2" s="914"/>
      <c r="C2" s="914"/>
      <c r="D2" s="914"/>
      <c r="E2" s="914"/>
      <c r="F2" s="914"/>
      <c r="G2" s="914"/>
      <c r="H2" s="914"/>
      <c r="I2" s="914"/>
      <c r="J2" s="914"/>
      <c r="K2" s="914"/>
      <c r="L2" s="914"/>
      <c r="M2" s="914"/>
      <c r="N2" s="914"/>
      <c r="O2" s="914"/>
      <c r="P2" s="914"/>
      <c r="Q2" s="914"/>
      <c r="R2" s="914"/>
      <c r="S2" s="914"/>
      <c r="T2" s="914"/>
    </row>
    <row r="3" spans="1:20">
      <c r="A3" s="59"/>
      <c r="B3" s="983" t="s">
        <v>84</v>
      </c>
      <c r="C3" s="983"/>
      <c r="D3" s="983"/>
      <c r="E3" s="983"/>
      <c r="F3" s="983"/>
      <c r="G3" s="983"/>
      <c r="H3" s="983"/>
      <c r="I3" s="983"/>
      <c r="J3" s="983"/>
      <c r="K3" s="983"/>
      <c r="L3" s="983"/>
      <c r="M3" s="983"/>
      <c r="N3" s="983"/>
      <c r="O3" s="983"/>
      <c r="P3" s="983"/>
      <c r="Q3" s="983"/>
      <c r="R3" s="983"/>
      <c r="S3" s="983"/>
      <c r="T3" s="59"/>
    </row>
    <row r="4" spans="1:20" ht="40.5" customHeight="1">
      <c r="B4" s="951" t="s">
        <v>256</v>
      </c>
      <c r="C4" s="951"/>
      <c r="D4" s="951"/>
      <c r="E4" s="951"/>
      <c r="F4" s="951"/>
      <c r="G4" s="951"/>
      <c r="H4" s="951"/>
      <c r="I4" s="951"/>
      <c r="J4" s="951"/>
      <c r="K4" s="951"/>
      <c r="L4" s="951"/>
      <c r="M4" s="951"/>
      <c r="N4" s="951"/>
      <c r="O4" s="951"/>
      <c r="P4" s="951"/>
      <c r="Q4" s="951"/>
      <c r="R4" s="951"/>
      <c r="S4" s="951"/>
    </row>
    <row r="6" spans="1:20" ht="67.5" customHeight="1">
      <c r="A6" s="54" t="s">
        <v>32</v>
      </c>
      <c r="B6" s="936" t="s">
        <v>30</v>
      </c>
      <c r="C6" s="936"/>
      <c r="D6" s="936"/>
      <c r="E6" s="936"/>
      <c r="F6" s="936"/>
      <c r="G6" s="936"/>
      <c r="H6" s="936"/>
      <c r="I6" s="936"/>
      <c r="J6" s="936"/>
      <c r="K6" s="936"/>
      <c r="L6" s="936"/>
      <c r="M6" s="936"/>
      <c r="N6" s="936"/>
      <c r="O6" s="936"/>
      <c r="P6" s="936"/>
      <c r="Q6" s="936"/>
    </row>
    <row r="7" spans="1:20">
      <c r="A7" s="52"/>
      <c r="B7" s="908" t="s">
        <v>82</v>
      </c>
      <c r="C7" s="908"/>
      <c r="D7" s="908"/>
      <c r="E7" s="908"/>
      <c r="F7" s="908"/>
      <c r="G7" s="908"/>
      <c r="H7" s="908"/>
      <c r="I7" s="908"/>
      <c r="J7" s="908"/>
      <c r="K7" s="908"/>
      <c r="L7" s="908"/>
      <c r="M7" s="908"/>
      <c r="N7" s="908"/>
      <c r="O7" s="908"/>
      <c r="P7" s="908"/>
      <c r="Q7" s="908"/>
    </row>
    <row r="8" spans="1:20">
      <c r="A8" s="42"/>
      <c r="B8" s="908" t="s">
        <v>31</v>
      </c>
      <c r="C8" s="908"/>
      <c r="D8" s="908"/>
      <c r="E8" s="908"/>
      <c r="F8" s="908"/>
      <c r="G8" s="908"/>
      <c r="H8" s="908"/>
      <c r="I8" s="908"/>
      <c r="J8" s="908"/>
      <c r="K8" s="908"/>
      <c r="L8" s="908"/>
      <c r="M8" s="908"/>
      <c r="N8" s="908"/>
      <c r="O8" s="908"/>
      <c r="P8" s="908"/>
      <c r="Q8" s="908"/>
    </row>
    <row r="9" spans="1:20">
      <c r="A9" s="73"/>
      <c r="B9" s="74"/>
      <c r="C9" s="74"/>
      <c r="D9" s="74"/>
      <c r="E9" s="74"/>
      <c r="F9" s="74"/>
      <c r="G9" s="74"/>
      <c r="H9" s="74"/>
      <c r="I9" s="74"/>
      <c r="J9" s="74"/>
      <c r="K9" s="74"/>
      <c r="L9" s="74"/>
      <c r="M9" s="74"/>
      <c r="N9" s="74"/>
      <c r="O9" s="74"/>
      <c r="P9" s="74"/>
      <c r="Q9" s="74"/>
      <c r="R9" s="18"/>
      <c r="S9" s="18"/>
      <c r="T9" s="18"/>
    </row>
    <row r="10" spans="1:20">
      <c r="A10" s="18"/>
      <c r="B10" s="56" t="s">
        <v>85</v>
      </c>
      <c r="C10" s="35"/>
      <c r="D10" s="33"/>
      <c r="E10" s="33"/>
      <c r="F10" s="34"/>
      <c r="G10" s="33"/>
      <c r="H10" s="34"/>
      <c r="I10" s="33"/>
      <c r="J10" s="34"/>
      <c r="K10" s="33"/>
      <c r="L10" s="33"/>
      <c r="M10" s="33"/>
      <c r="N10" s="33"/>
      <c r="O10" s="35"/>
      <c r="P10" s="19"/>
      <c r="Q10" s="18"/>
      <c r="R10" s="18"/>
      <c r="S10" s="18"/>
      <c r="T10" s="18"/>
    </row>
    <row r="11" spans="1:20">
      <c r="A11" s="18"/>
      <c r="B11" s="56"/>
      <c r="C11" s="35"/>
      <c r="D11" s="33"/>
      <c r="E11" s="33"/>
      <c r="F11" s="34"/>
      <c r="G11" s="33"/>
      <c r="H11" s="34"/>
      <c r="I11" s="33"/>
      <c r="J11" s="34"/>
      <c r="K11" s="33"/>
      <c r="L11" s="33"/>
      <c r="M11" s="33"/>
      <c r="N11" s="33"/>
      <c r="O11" s="35"/>
      <c r="P11" s="19"/>
      <c r="Q11" s="18"/>
      <c r="R11" s="18"/>
      <c r="S11" s="18"/>
      <c r="T11" s="18"/>
    </row>
    <row r="12" spans="1:20" ht="14.25">
      <c r="A12" s="18"/>
      <c r="B12" s="77"/>
      <c r="C12" s="69" t="s">
        <v>0</v>
      </c>
      <c r="D12" s="78">
        <v>2</v>
      </c>
      <c r="E12" s="39" t="s">
        <v>1</v>
      </c>
      <c r="F12" s="37">
        <v>10</v>
      </c>
      <c r="G12" s="39" t="s">
        <v>1</v>
      </c>
      <c r="H12" s="34">
        <v>0.4</v>
      </c>
      <c r="I12" s="33" t="s">
        <v>1</v>
      </c>
      <c r="J12" s="34">
        <v>1.5</v>
      </c>
      <c r="K12" s="69" t="s">
        <v>0</v>
      </c>
      <c r="L12" s="922">
        <f>J12*H12*F12*D12</f>
        <v>12.000000000000002</v>
      </c>
      <c r="M12" s="922"/>
      <c r="N12" s="72" t="s">
        <v>7</v>
      </c>
      <c r="Q12" s="39"/>
      <c r="R12" s="18"/>
      <c r="S12" s="18"/>
      <c r="T12" s="18"/>
    </row>
    <row r="13" spans="1:20">
      <c r="A13" s="18"/>
      <c r="B13" s="56" t="s">
        <v>86</v>
      </c>
      <c r="C13" s="69"/>
      <c r="D13" s="39"/>
      <c r="E13" s="39"/>
      <c r="F13" s="37"/>
      <c r="G13" s="39"/>
      <c r="H13" s="37"/>
      <c r="I13" s="39"/>
      <c r="J13" s="34"/>
      <c r="K13" s="35"/>
      <c r="L13" s="33"/>
      <c r="M13" s="33"/>
      <c r="N13" s="79"/>
      <c r="O13" s="80"/>
      <c r="P13" s="72"/>
      <c r="Q13" s="39"/>
      <c r="R13" s="18"/>
      <c r="S13" s="18"/>
      <c r="T13" s="18"/>
    </row>
    <row r="14" spans="1:20" ht="14.25">
      <c r="A14" s="18"/>
      <c r="B14" s="56"/>
      <c r="C14" s="69" t="s">
        <v>0</v>
      </c>
      <c r="D14" s="78">
        <v>1</v>
      </c>
      <c r="E14" s="39" t="s">
        <v>1</v>
      </c>
      <c r="F14" s="37">
        <v>10</v>
      </c>
      <c r="G14" s="39" t="s">
        <v>1</v>
      </c>
      <c r="H14" s="34">
        <v>0.6</v>
      </c>
      <c r="I14" s="33" t="s">
        <v>1</v>
      </c>
      <c r="J14" s="31">
        <v>1.2</v>
      </c>
      <c r="K14" s="46" t="s">
        <v>0</v>
      </c>
      <c r="L14" s="905">
        <f>J14*H14*F14*D14</f>
        <v>7.1999999999999993</v>
      </c>
      <c r="M14" s="905"/>
      <c r="N14" s="84" t="s">
        <v>7</v>
      </c>
      <c r="O14" s="79"/>
      <c r="P14" s="72"/>
      <c r="Q14" s="18"/>
      <c r="R14" s="18"/>
      <c r="S14" s="18"/>
      <c r="T14" s="18"/>
    </row>
    <row r="15" spans="1:20" ht="14.25">
      <c r="A15" s="18"/>
      <c r="B15" s="56"/>
      <c r="C15" s="35"/>
      <c r="D15" s="33"/>
      <c r="E15" s="33"/>
      <c r="F15" s="34"/>
      <c r="G15" s="33"/>
      <c r="H15" s="34"/>
      <c r="I15" s="33"/>
      <c r="J15" s="34" t="s">
        <v>88</v>
      </c>
      <c r="K15" s="69" t="s">
        <v>0</v>
      </c>
      <c r="L15" s="984">
        <f>SUM(L12:L14)</f>
        <v>19.200000000000003</v>
      </c>
      <c r="M15" s="984"/>
      <c r="N15" s="72" t="s">
        <v>7</v>
      </c>
      <c r="O15" s="79"/>
      <c r="P15" s="72"/>
      <c r="Q15" s="18"/>
      <c r="R15" s="18"/>
      <c r="S15" s="18"/>
      <c r="T15" s="18"/>
    </row>
    <row r="16" spans="1:20" ht="14.25">
      <c r="B16" s="43"/>
      <c r="C16" s="1"/>
      <c r="F16" s="2"/>
      <c r="H16" s="8" t="s">
        <v>9</v>
      </c>
      <c r="I16" s="891">
        <v>97</v>
      </c>
      <c r="J16" s="891"/>
      <c r="K16" s="906" t="s">
        <v>10</v>
      </c>
      <c r="L16" s="907"/>
      <c r="R16" s="29" t="s">
        <v>0</v>
      </c>
      <c r="S16" s="16" t="s">
        <v>11</v>
      </c>
      <c r="T16" s="2">
        <f>ROUND(L15*I16,0)</f>
        <v>1862</v>
      </c>
    </row>
    <row r="17" spans="1:20">
      <c r="B17" s="43"/>
      <c r="C17" s="1"/>
      <c r="F17" s="2"/>
      <c r="H17" s="7"/>
      <c r="I17" s="7"/>
      <c r="J17" s="8"/>
      <c r="K17" s="17"/>
      <c r="L17" s="17"/>
      <c r="M17" s="9"/>
      <c r="N17" s="10"/>
      <c r="R17" s="29"/>
      <c r="S17" s="16"/>
      <c r="T17" s="2"/>
    </row>
    <row r="18" spans="1:20">
      <c r="B18" s="43"/>
      <c r="C18" s="1"/>
      <c r="F18" s="2"/>
      <c r="H18" s="7"/>
      <c r="I18" s="7"/>
      <c r="J18" s="8"/>
      <c r="K18" s="17"/>
      <c r="L18" s="17"/>
      <c r="M18" s="9"/>
      <c r="N18" s="10"/>
      <c r="R18" s="29"/>
      <c r="S18" s="16"/>
      <c r="T18" s="2"/>
    </row>
    <row r="19" spans="1:20" ht="44.25" customHeight="1">
      <c r="A19" s="54" t="s">
        <v>89</v>
      </c>
      <c r="B19" s="908" t="s">
        <v>35</v>
      </c>
      <c r="C19" s="908"/>
      <c r="D19" s="908"/>
      <c r="E19" s="908"/>
      <c r="F19" s="908"/>
      <c r="G19" s="908"/>
      <c r="H19" s="908"/>
      <c r="I19" s="908"/>
      <c r="J19" s="908"/>
      <c r="K19" s="908"/>
      <c r="L19" s="908"/>
      <c r="M19" s="908"/>
      <c r="N19" s="908"/>
      <c r="O19" s="908"/>
      <c r="P19" s="908"/>
      <c r="Q19" s="908"/>
      <c r="R19" s="29"/>
      <c r="S19" s="16"/>
      <c r="T19" s="2"/>
    </row>
    <row r="20" spans="1:20" ht="14.25">
      <c r="B20" s="43"/>
      <c r="C20" s="69" t="s">
        <v>0</v>
      </c>
      <c r="D20" s="78">
        <v>2</v>
      </c>
      <c r="E20" s="39" t="s">
        <v>1</v>
      </c>
      <c r="F20" s="37">
        <v>10</v>
      </c>
      <c r="G20" s="39" t="s">
        <v>1</v>
      </c>
      <c r="H20" s="34">
        <v>0.4</v>
      </c>
      <c r="I20" s="33" t="s">
        <v>1</v>
      </c>
      <c r="J20" s="34">
        <v>1.5</v>
      </c>
      <c r="K20" s="69" t="s">
        <v>0</v>
      </c>
      <c r="L20" s="922">
        <f>J20*H20*F20*D20</f>
        <v>12.000000000000002</v>
      </c>
      <c r="M20" s="922"/>
      <c r="N20" s="72" t="s">
        <v>7</v>
      </c>
      <c r="O20" s="79"/>
      <c r="P20" s="72"/>
      <c r="R20" s="29"/>
      <c r="S20" s="16"/>
      <c r="T20" s="2"/>
    </row>
    <row r="21" spans="1:20" ht="14.25">
      <c r="B21" s="43"/>
      <c r="C21" s="1"/>
      <c r="F21" s="2"/>
      <c r="H21" s="8" t="s">
        <v>9</v>
      </c>
      <c r="I21" s="891">
        <v>1750</v>
      </c>
      <c r="J21" s="891"/>
      <c r="K21" s="906" t="s">
        <v>10</v>
      </c>
      <c r="L21" s="907"/>
      <c r="R21" s="29" t="s">
        <v>0</v>
      </c>
      <c r="S21" s="16" t="s">
        <v>11</v>
      </c>
      <c r="T21" s="2">
        <f>ROUND(L20*I21,0)</f>
        <v>21000</v>
      </c>
    </row>
    <row r="22" spans="1:20" ht="14.25" customHeight="1">
      <c r="B22" s="43"/>
      <c r="C22" s="1"/>
      <c r="F22" s="2"/>
      <c r="H22" s="7"/>
      <c r="I22" s="7"/>
      <c r="J22" s="8"/>
      <c r="K22" s="17"/>
      <c r="L22" s="17"/>
      <c r="M22" s="9"/>
      <c r="N22" s="10"/>
      <c r="R22" s="29"/>
      <c r="S22" s="16"/>
      <c r="T22" s="2"/>
    </row>
    <row r="23" spans="1:20" ht="14.25" customHeight="1">
      <c r="B23" s="43"/>
      <c r="C23" s="1"/>
      <c r="F23" s="2"/>
      <c r="H23" s="7"/>
      <c r="I23" s="7"/>
      <c r="J23" s="8"/>
      <c r="K23" s="17"/>
      <c r="L23" s="17"/>
      <c r="M23" s="9"/>
      <c r="N23" s="10"/>
      <c r="R23" s="29"/>
      <c r="S23" s="16"/>
      <c r="T23" s="2"/>
    </row>
    <row r="24" spans="1:20" ht="27" customHeight="1">
      <c r="A24" s="54" t="s">
        <v>90</v>
      </c>
      <c r="B24" s="908" t="s">
        <v>87</v>
      </c>
      <c r="C24" s="908"/>
      <c r="D24" s="908"/>
      <c r="E24" s="908"/>
      <c r="F24" s="908"/>
      <c r="G24" s="908"/>
      <c r="H24" s="908"/>
      <c r="I24" s="908"/>
      <c r="J24" s="908"/>
      <c r="K24" s="908"/>
      <c r="L24" s="908"/>
      <c r="M24" s="908"/>
      <c r="N24" s="908"/>
      <c r="O24" s="908"/>
      <c r="P24" s="908"/>
      <c r="Q24" s="908"/>
    </row>
    <row r="25" spans="1:20" ht="14.25">
      <c r="B25" s="5"/>
      <c r="C25" s="69" t="s">
        <v>0</v>
      </c>
      <c r="D25" s="78">
        <v>1</v>
      </c>
      <c r="E25" s="39" t="s">
        <v>1</v>
      </c>
      <c r="F25" s="37">
        <v>10</v>
      </c>
      <c r="G25" s="39" t="s">
        <v>1</v>
      </c>
      <c r="H25" s="34">
        <v>0.6</v>
      </c>
      <c r="I25" s="33" t="s">
        <v>1</v>
      </c>
      <c r="J25" s="34">
        <v>0.15</v>
      </c>
      <c r="K25" s="69" t="s">
        <v>0</v>
      </c>
      <c r="L25" s="922">
        <f>J25*H25*F25*D25</f>
        <v>0.89999999999999991</v>
      </c>
      <c r="M25" s="922"/>
      <c r="N25" s="72" t="s">
        <v>7</v>
      </c>
      <c r="O25" s="79"/>
      <c r="P25" s="72"/>
      <c r="R25" s="29"/>
      <c r="S25" s="16"/>
      <c r="T25" s="2"/>
    </row>
    <row r="26" spans="1:20" ht="14.25">
      <c r="B26" s="83"/>
      <c r="C26" s="1"/>
      <c r="F26" s="2"/>
      <c r="H26" s="8" t="s">
        <v>9</v>
      </c>
      <c r="I26" s="891">
        <v>480</v>
      </c>
      <c r="J26" s="891"/>
      <c r="K26" s="906" t="s">
        <v>10</v>
      </c>
      <c r="L26" s="907"/>
      <c r="R26" s="29" t="s">
        <v>0</v>
      </c>
      <c r="S26" s="16" t="s">
        <v>11</v>
      </c>
      <c r="T26" s="2">
        <f>ROUND(L25*I26,0)</f>
        <v>432</v>
      </c>
    </row>
    <row r="27" spans="1:20">
      <c r="B27" s="83"/>
      <c r="C27" s="69"/>
      <c r="D27" s="39"/>
      <c r="E27" s="39"/>
      <c r="F27" s="18"/>
      <c r="G27" s="18"/>
      <c r="H27" s="18"/>
      <c r="I27" s="39"/>
      <c r="J27" s="37"/>
      <c r="K27" s="39"/>
      <c r="L27" s="37"/>
      <c r="M27" s="18"/>
      <c r="N27" s="18"/>
      <c r="O27" s="69"/>
      <c r="P27" s="70"/>
      <c r="Q27" s="71"/>
      <c r="R27" s="18"/>
      <c r="S27" s="18"/>
      <c r="T27" s="18"/>
    </row>
    <row r="28" spans="1:20">
      <c r="B28" s="56"/>
      <c r="C28" s="35"/>
      <c r="D28" s="33"/>
      <c r="E28" s="33"/>
      <c r="F28" s="34"/>
      <c r="G28" s="33"/>
      <c r="H28" s="34"/>
      <c r="I28" s="33"/>
      <c r="J28" s="34"/>
      <c r="K28" s="33"/>
      <c r="L28" s="33"/>
      <c r="M28" s="33"/>
      <c r="N28" s="34"/>
      <c r="O28" s="35"/>
      <c r="P28" s="19"/>
      <c r="Q28" s="18"/>
      <c r="R28" s="18"/>
      <c r="S28" s="18"/>
      <c r="T28" s="18"/>
    </row>
    <row r="29" spans="1:20" ht="44.25" customHeight="1">
      <c r="A29" s="54" t="s">
        <v>91</v>
      </c>
      <c r="B29" s="936" t="s">
        <v>34</v>
      </c>
      <c r="C29" s="936"/>
      <c r="D29" s="936"/>
      <c r="E29" s="936"/>
      <c r="F29" s="936"/>
      <c r="G29" s="936"/>
      <c r="H29" s="936"/>
      <c r="I29" s="936"/>
      <c r="J29" s="936"/>
      <c r="K29" s="936"/>
      <c r="L29" s="936"/>
      <c r="M29" s="936"/>
      <c r="N29" s="936"/>
      <c r="O29" s="936"/>
      <c r="P29" s="936"/>
      <c r="Q29" s="936"/>
    </row>
    <row r="30" spans="1:20" ht="14.25">
      <c r="B30" s="75"/>
      <c r="C30" s="69" t="s">
        <v>0</v>
      </c>
      <c r="D30" s="78">
        <v>1</v>
      </c>
      <c r="E30" s="39" t="s">
        <v>1</v>
      </c>
      <c r="F30" s="37">
        <v>10</v>
      </c>
      <c r="G30" s="39" t="s">
        <v>1</v>
      </c>
      <c r="H30" s="34">
        <v>0.6</v>
      </c>
      <c r="I30" s="33" t="s">
        <v>1</v>
      </c>
      <c r="J30" s="34">
        <v>0.1</v>
      </c>
      <c r="K30" s="69" t="s">
        <v>0</v>
      </c>
      <c r="L30" s="922">
        <f>J30*H30*F30*D30</f>
        <v>0.6</v>
      </c>
      <c r="M30" s="922"/>
      <c r="N30" s="72" t="s">
        <v>7</v>
      </c>
      <c r="O30" s="79"/>
      <c r="P30" s="72"/>
      <c r="R30" s="29"/>
      <c r="S30" s="16"/>
      <c r="T30" s="2"/>
    </row>
    <row r="31" spans="1:20" ht="14.25">
      <c r="B31" s="75"/>
      <c r="C31" s="1"/>
      <c r="F31" s="2"/>
      <c r="H31" s="8" t="s">
        <v>9</v>
      </c>
      <c r="I31" s="891">
        <v>2065</v>
      </c>
      <c r="J31" s="891"/>
      <c r="K31" s="906" t="s">
        <v>10</v>
      </c>
      <c r="L31" s="907"/>
      <c r="R31" s="29" t="s">
        <v>0</v>
      </c>
      <c r="S31" s="16" t="s">
        <v>11</v>
      </c>
      <c r="T31" s="2">
        <f>ROUND(L30*I31,0)</f>
        <v>1239</v>
      </c>
    </row>
    <row r="32" spans="1:20">
      <c r="B32" s="56"/>
      <c r="C32" s="35"/>
      <c r="D32" s="33"/>
      <c r="E32" s="33"/>
      <c r="F32" s="34"/>
      <c r="G32" s="33"/>
      <c r="H32" s="34"/>
      <c r="I32" s="33"/>
      <c r="J32" s="34"/>
      <c r="K32" s="33"/>
      <c r="L32" s="33"/>
      <c r="M32" s="33"/>
      <c r="N32" s="34"/>
      <c r="O32" s="35"/>
      <c r="P32" s="19"/>
      <c r="Q32" s="18"/>
      <c r="R32" s="18"/>
      <c r="S32" s="18"/>
      <c r="T32" s="18"/>
    </row>
    <row r="33" spans="1:20">
      <c r="B33" s="18"/>
      <c r="C33" s="18"/>
      <c r="D33" s="71"/>
      <c r="E33" s="71"/>
      <c r="F33" s="71"/>
      <c r="G33" s="71"/>
      <c r="H33" s="18"/>
      <c r="I33" s="18"/>
      <c r="J33" s="18"/>
      <c r="K33" s="71"/>
      <c r="L33" s="71"/>
      <c r="M33" s="71"/>
      <c r="N33" s="34"/>
      <c r="O33" s="76"/>
      <c r="P33" s="19"/>
      <c r="Q33" s="18"/>
      <c r="R33" s="18"/>
      <c r="S33" s="18"/>
      <c r="T33" s="18"/>
    </row>
    <row r="34" spans="1:20">
      <c r="B34" s="18"/>
      <c r="C34" s="18"/>
      <c r="D34" s="18"/>
      <c r="E34" s="18"/>
      <c r="F34" s="18"/>
      <c r="G34" s="79"/>
      <c r="H34" s="18"/>
      <c r="I34" s="79"/>
      <c r="J34" s="79"/>
      <c r="K34" s="79"/>
      <c r="L34" s="82"/>
      <c r="M34" s="64"/>
      <c r="N34" s="18"/>
      <c r="O34" s="18"/>
      <c r="P34" s="19"/>
      <c r="Q34" s="18"/>
      <c r="R34" s="35"/>
      <c r="S34" s="25"/>
      <c r="T34" s="57"/>
    </row>
    <row r="35" spans="1:20">
      <c r="B35" s="18"/>
      <c r="C35" s="18"/>
      <c r="D35" s="18"/>
      <c r="E35" s="18"/>
      <c r="F35" s="18"/>
      <c r="G35" s="18"/>
      <c r="H35" s="81"/>
      <c r="I35" s="81"/>
      <c r="J35" s="79"/>
      <c r="K35" s="79"/>
      <c r="L35" s="79"/>
      <c r="M35" s="79"/>
      <c r="N35" s="82"/>
      <c r="O35" s="64"/>
      <c r="P35" s="19"/>
      <c r="Q35" s="18"/>
      <c r="R35" s="18"/>
      <c r="S35" s="18"/>
      <c r="T35" s="57"/>
    </row>
    <row r="36" spans="1:20">
      <c r="H36" s="8"/>
      <c r="I36" s="8"/>
      <c r="J36" s="17"/>
      <c r="K36" s="17"/>
      <c r="L36" s="17"/>
      <c r="M36" s="17"/>
      <c r="N36" s="9"/>
      <c r="O36" s="10"/>
      <c r="P36" s="12"/>
      <c r="Q36" s="13"/>
      <c r="R36" s="13"/>
      <c r="S36" s="13"/>
      <c r="T36" s="27"/>
    </row>
    <row r="37" spans="1:20">
      <c r="P37" s="950" t="s">
        <v>29</v>
      </c>
      <c r="Q37" s="950"/>
      <c r="R37" s="50" t="s">
        <v>0</v>
      </c>
      <c r="S37" s="49" t="s">
        <v>11</v>
      </c>
      <c r="T37" s="28">
        <f>SUM(T16:T31)</f>
        <v>24533</v>
      </c>
    </row>
    <row r="42" spans="1:20">
      <c r="P42" s="950" t="s">
        <v>120</v>
      </c>
      <c r="Q42" s="950"/>
      <c r="R42" s="50" t="s">
        <v>0</v>
      </c>
      <c r="S42" s="49" t="s">
        <v>11</v>
      </c>
      <c r="T42" s="28">
        <v>24533</v>
      </c>
    </row>
    <row r="43" spans="1:20" ht="37.5" customHeight="1">
      <c r="A43" s="54" t="s">
        <v>92</v>
      </c>
      <c r="B43" s="908" t="s">
        <v>93</v>
      </c>
      <c r="C43" s="908"/>
      <c r="D43" s="908"/>
      <c r="E43" s="908"/>
      <c r="F43" s="908"/>
      <c r="G43" s="908"/>
      <c r="H43" s="908"/>
      <c r="I43" s="908"/>
      <c r="J43" s="908"/>
      <c r="K43" s="908"/>
      <c r="L43" s="908"/>
      <c r="M43" s="908"/>
      <c r="N43" s="908"/>
      <c r="O43" s="908"/>
      <c r="P43" s="908"/>
      <c r="Q43" s="908"/>
    </row>
    <row r="44" spans="1:20">
      <c r="B44" t="s">
        <v>94</v>
      </c>
    </row>
    <row r="45" spans="1:20" ht="15" customHeight="1">
      <c r="B45" t="s">
        <v>96</v>
      </c>
      <c r="G45" s="86" t="s">
        <v>95</v>
      </c>
      <c r="H45" t="s">
        <v>97</v>
      </c>
    </row>
    <row r="46" spans="1:20">
      <c r="D46" s="69" t="s">
        <v>0</v>
      </c>
      <c r="F46">
        <v>101</v>
      </c>
      <c r="G46" t="s">
        <v>1</v>
      </c>
      <c r="H46" s="2">
        <v>1.5</v>
      </c>
      <c r="I46" s="69" t="s">
        <v>0</v>
      </c>
      <c r="J46" s="885">
        <f>H46*F46</f>
        <v>151.5</v>
      </c>
      <c r="K46" s="885"/>
      <c r="L46" t="s">
        <v>13</v>
      </c>
    </row>
    <row r="47" spans="1:20">
      <c r="F47" s="904" t="s">
        <v>98</v>
      </c>
      <c r="G47" s="904"/>
      <c r="H47">
        <v>0.62</v>
      </c>
      <c r="I47" t="s">
        <v>99</v>
      </c>
      <c r="M47" s="69" t="s">
        <v>0</v>
      </c>
      <c r="N47" s="890">
        <f>J46*H47</f>
        <v>93.929999999999993</v>
      </c>
      <c r="O47" s="890"/>
      <c r="P47" t="s">
        <v>100</v>
      </c>
    </row>
    <row r="48" spans="1:20" ht="8.25" customHeight="1"/>
    <row r="49" spans="1:20" ht="15">
      <c r="B49" t="s">
        <v>102</v>
      </c>
      <c r="G49" s="86"/>
      <c r="I49" s="85" t="s">
        <v>95</v>
      </c>
      <c r="J49" t="s">
        <v>97</v>
      </c>
    </row>
    <row r="50" spans="1:20">
      <c r="D50" s="69" t="s">
        <v>0</v>
      </c>
      <c r="F50">
        <v>101</v>
      </c>
      <c r="G50" t="s">
        <v>1</v>
      </c>
      <c r="H50" s="2">
        <v>1.5</v>
      </c>
      <c r="I50" s="69" t="s">
        <v>0</v>
      </c>
      <c r="J50" s="885">
        <f>H50*F50</f>
        <v>151.5</v>
      </c>
      <c r="K50" s="885"/>
      <c r="L50" t="s">
        <v>13</v>
      </c>
    </row>
    <row r="51" spans="1:20">
      <c r="F51" s="904" t="s">
        <v>98</v>
      </c>
      <c r="G51" s="904"/>
      <c r="H51">
        <v>0.89</v>
      </c>
      <c r="I51" t="s">
        <v>99</v>
      </c>
      <c r="M51" s="69" t="s">
        <v>0</v>
      </c>
      <c r="N51" s="890">
        <f>J50*H51</f>
        <v>134.83500000000001</v>
      </c>
      <c r="O51" s="890"/>
      <c r="P51" t="s">
        <v>100</v>
      </c>
    </row>
    <row r="52" spans="1:20" ht="7.5" customHeight="1"/>
    <row r="53" spans="1:20" ht="15">
      <c r="B53" t="s">
        <v>101</v>
      </c>
      <c r="G53" s="86"/>
      <c r="I53" s="85" t="s">
        <v>95</v>
      </c>
      <c r="J53" t="s">
        <v>97</v>
      </c>
    </row>
    <row r="54" spans="1:20">
      <c r="C54" s="69" t="s">
        <v>0</v>
      </c>
      <c r="D54" s="69">
        <v>2</v>
      </c>
      <c r="E54" t="s">
        <v>1</v>
      </c>
      <c r="F54" s="36">
        <v>10</v>
      </c>
      <c r="G54" t="s">
        <v>1</v>
      </c>
      <c r="H54" s="2">
        <v>10</v>
      </c>
      <c r="I54" s="69" t="s">
        <v>0</v>
      </c>
      <c r="J54" s="885">
        <f>H54*F54*D54</f>
        <v>200</v>
      </c>
      <c r="K54" s="885"/>
      <c r="L54" t="s">
        <v>13</v>
      </c>
    </row>
    <row r="55" spans="1:20">
      <c r="F55" s="904" t="s">
        <v>98</v>
      </c>
      <c r="G55" s="904"/>
      <c r="H55">
        <v>0.39</v>
      </c>
      <c r="I55" t="s">
        <v>99</v>
      </c>
      <c r="L55" s="13"/>
      <c r="M55" s="46" t="s">
        <v>0</v>
      </c>
      <c r="N55" s="965">
        <f>J54*H55</f>
        <v>78</v>
      </c>
      <c r="O55" s="965"/>
      <c r="P55" s="13" t="s">
        <v>100</v>
      </c>
    </row>
    <row r="56" spans="1:20">
      <c r="L56" s="20" t="s">
        <v>88</v>
      </c>
      <c r="M56" s="69" t="s">
        <v>0</v>
      </c>
      <c r="N56" s="890">
        <f>SUM(N47:N55)</f>
        <v>306.76499999999999</v>
      </c>
      <c r="O56" s="890"/>
      <c r="P56" t="s">
        <v>100</v>
      </c>
    </row>
    <row r="57" spans="1:20">
      <c r="M57" s="69" t="s">
        <v>0</v>
      </c>
      <c r="N57" s="890">
        <f>ROUND(N56/1000,3)</f>
        <v>0.307</v>
      </c>
      <c r="O57" s="890"/>
      <c r="P57" t="s">
        <v>103</v>
      </c>
    </row>
    <row r="58" spans="1:20">
      <c r="F58" s="8" t="s">
        <v>9</v>
      </c>
      <c r="G58" s="886">
        <v>26217</v>
      </c>
      <c r="H58" s="886"/>
      <c r="I58" s="886"/>
      <c r="J58" s="1" t="s">
        <v>104</v>
      </c>
      <c r="R58" s="29" t="s">
        <v>0</v>
      </c>
      <c r="S58" s="16" t="s">
        <v>11</v>
      </c>
      <c r="T58" s="2">
        <f>ROUND(N57*G58,0)</f>
        <v>8049</v>
      </c>
    </row>
    <row r="59" spans="1:20" ht="10.5" customHeight="1">
      <c r="F59" s="8"/>
      <c r="G59" s="8"/>
      <c r="H59" s="8"/>
      <c r="I59" s="8"/>
      <c r="J59" s="1"/>
      <c r="R59" s="29"/>
      <c r="S59" s="16"/>
      <c r="T59" s="2"/>
    </row>
    <row r="60" spans="1:20" ht="10.5" customHeight="1"/>
    <row r="61" spans="1:20" ht="51.75" customHeight="1">
      <c r="A61" s="54" t="s">
        <v>105</v>
      </c>
      <c r="B61" s="908" t="s">
        <v>106</v>
      </c>
      <c r="C61" s="908"/>
      <c r="D61" s="908"/>
      <c r="E61" s="908"/>
      <c r="F61" s="908"/>
      <c r="G61" s="908"/>
      <c r="H61" s="908"/>
      <c r="I61" s="908"/>
      <c r="J61" s="908"/>
      <c r="K61" s="908"/>
      <c r="L61" s="908"/>
      <c r="M61" s="908"/>
      <c r="N61" s="908"/>
      <c r="O61" s="908"/>
      <c r="P61" s="908"/>
      <c r="Q61" s="908"/>
    </row>
    <row r="62" spans="1:20" ht="14.25">
      <c r="C62" s="69" t="s">
        <v>0</v>
      </c>
      <c r="D62">
        <v>1</v>
      </c>
      <c r="E62" t="s">
        <v>1</v>
      </c>
      <c r="F62" s="2">
        <v>10</v>
      </c>
      <c r="G62" t="s">
        <v>1</v>
      </c>
      <c r="H62" s="2">
        <v>2.1</v>
      </c>
      <c r="I62" t="s">
        <v>1</v>
      </c>
      <c r="J62" s="2">
        <v>0.1</v>
      </c>
      <c r="K62" s="69" t="s">
        <v>0</v>
      </c>
      <c r="L62" s="885">
        <f>J62*H62*F62*D62</f>
        <v>2.1</v>
      </c>
      <c r="M62" s="885"/>
      <c r="N62" t="s">
        <v>7</v>
      </c>
    </row>
    <row r="63" spans="1:20" ht="14.25">
      <c r="H63" s="8" t="s">
        <v>9</v>
      </c>
      <c r="I63" s="891">
        <v>3986</v>
      </c>
      <c r="J63" s="891"/>
      <c r="K63" s="906" t="s">
        <v>10</v>
      </c>
      <c r="L63" s="907"/>
      <c r="R63" s="29" t="s">
        <v>0</v>
      </c>
      <c r="S63" s="16" t="s">
        <v>11</v>
      </c>
      <c r="T63" s="2">
        <f>ROUND(L62*I63,0)</f>
        <v>8371</v>
      </c>
    </row>
    <row r="66" spans="1:20" ht="38.25">
      <c r="A66" s="54" t="s">
        <v>108</v>
      </c>
      <c r="B66" s="926" t="s">
        <v>107</v>
      </c>
      <c r="C66" s="926"/>
      <c r="D66" s="926"/>
      <c r="E66" s="926"/>
      <c r="F66" s="926"/>
      <c r="G66" s="926"/>
      <c r="H66" s="926"/>
      <c r="I66" s="926"/>
      <c r="J66" s="926"/>
      <c r="K66" s="926"/>
      <c r="L66" s="926"/>
      <c r="M66" s="926"/>
      <c r="N66" s="926"/>
      <c r="O66" s="926"/>
      <c r="P66" s="926"/>
      <c r="Q66" s="926"/>
    </row>
    <row r="67" spans="1:20" ht="14.25">
      <c r="C67" s="69" t="s">
        <v>0</v>
      </c>
      <c r="D67" s="78">
        <v>1</v>
      </c>
      <c r="E67" s="39" t="s">
        <v>1</v>
      </c>
      <c r="F67" s="37">
        <v>10</v>
      </c>
      <c r="G67" s="39" t="s">
        <v>1</v>
      </c>
      <c r="H67" s="34">
        <v>2.5</v>
      </c>
      <c r="I67" s="33"/>
      <c r="J67" s="34"/>
      <c r="K67" s="69" t="s">
        <v>0</v>
      </c>
      <c r="L67" s="922">
        <f>H67*F67*D67</f>
        <v>25</v>
      </c>
      <c r="M67" s="922"/>
      <c r="N67" s="72" t="s">
        <v>7</v>
      </c>
      <c r="O67" s="79"/>
      <c r="P67" s="72"/>
      <c r="R67" s="29"/>
      <c r="S67" s="16"/>
      <c r="T67" s="2"/>
    </row>
    <row r="68" spans="1:20" ht="14.25">
      <c r="C68" s="1"/>
      <c r="F68" s="2"/>
      <c r="H68" s="8" t="s">
        <v>9</v>
      </c>
      <c r="I68" s="891">
        <v>68</v>
      </c>
      <c r="J68" s="891"/>
      <c r="K68" s="906" t="s">
        <v>10</v>
      </c>
      <c r="L68" s="907"/>
      <c r="R68" s="29" t="s">
        <v>0</v>
      </c>
      <c r="S68" s="16" t="s">
        <v>11</v>
      </c>
      <c r="T68" s="2">
        <f>ROUND(L67*I68,0)</f>
        <v>1700</v>
      </c>
    </row>
    <row r="69" spans="1:20" ht="10.5" customHeight="1"/>
    <row r="70" spans="1:20" ht="10.5" customHeight="1"/>
    <row r="71" spans="1:20" ht="26.25" customHeight="1">
      <c r="A71" s="98" t="s">
        <v>223</v>
      </c>
      <c r="B71" s="924" t="s">
        <v>211</v>
      </c>
      <c r="C71" s="924"/>
      <c r="D71" s="924"/>
      <c r="E71" s="924"/>
      <c r="F71" s="924"/>
      <c r="G71" s="924"/>
      <c r="H71" s="924"/>
      <c r="I71" s="924"/>
      <c r="J71" s="924"/>
      <c r="K71" s="924"/>
      <c r="L71" s="924"/>
      <c r="M71" s="924"/>
      <c r="N71" s="924"/>
      <c r="O71" s="924"/>
      <c r="P71" s="924"/>
      <c r="Q71" s="924"/>
    </row>
    <row r="72" spans="1:20">
      <c r="A72" s="95">
        <v>1.2</v>
      </c>
      <c r="B72" s="926" t="s">
        <v>109</v>
      </c>
      <c r="C72" s="926"/>
      <c r="D72" s="926"/>
      <c r="E72" s="926"/>
      <c r="F72" s="926"/>
      <c r="G72" s="926"/>
      <c r="H72" s="926"/>
      <c r="I72" s="926"/>
      <c r="J72" s="926"/>
      <c r="K72" s="926"/>
      <c r="L72" s="926"/>
      <c r="M72" s="926"/>
      <c r="N72" s="926"/>
      <c r="O72" s="926"/>
      <c r="P72" s="926"/>
      <c r="Q72" s="926"/>
    </row>
    <row r="73" spans="1:20">
      <c r="B73" t="s">
        <v>110</v>
      </c>
    </row>
    <row r="74" spans="1:20" ht="14.25">
      <c r="B74" t="s">
        <v>111</v>
      </c>
      <c r="I74" s="69" t="s">
        <v>0</v>
      </c>
      <c r="J74" s="2">
        <f>$L$20</f>
        <v>12.000000000000002</v>
      </c>
      <c r="K74" t="s">
        <v>1</v>
      </c>
      <c r="L74">
        <v>1.1599999999999999</v>
      </c>
      <c r="M74" s="69" t="s">
        <v>0</v>
      </c>
      <c r="N74" s="890">
        <f>L74*J74</f>
        <v>13.920000000000002</v>
      </c>
      <c r="O74" s="890"/>
      <c r="P74" t="s">
        <v>7</v>
      </c>
    </row>
    <row r="75" spans="1:20" ht="14.25">
      <c r="B75" t="s">
        <v>112</v>
      </c>
      <c r="I75" s="69" t="s">
        <v>0</v>
      </c>
      <c r="J75" s="2">
        <f>$L$25</f>
        <v>0.89999999999999991</v>
      </c>
      <c r="K75" t="s">
        <v>1</v>
      </c>
      <c r="L75">
        <v>1.1599999999999999</v>
      </c>
      <c r="M75" s="69" t="s">
        <v>0</v>
      </c>
      <c r="N75" s="890">
        <f>L75*J75</f>
        <v>1.0439999999999998</v>
      </c>
      <c r="O75" s="890"/>
      <c r="P75" t="s">
        <v>7</v>
      </c>
    </row>
    <row r="76" spans="1:20" ht="14.25">
      <c r="B76" t="s">
        <v>113</v>
      </c>
      <c r="I76" s="69" t="s">
        <v>0</v>
      </c>
      <c r="J76" s="2">
        <f>$L$30</f>
        <v>0.6</v>
      </c>
      <c r="K76" t="s">
        <v>1</v>
      </c>
      <c r="L76">
        <v>0.85</v>
      </c>
      <c r="M76" s="69" t="s">
        <v>0</v>
      </c>
      <c r="N76" s="885">
        <f>L76*J76</f>
        <v>0.51</v>
      </c>
      <c r="O76" s="885"/>
      <c r="P76" t="s">
        <v>7</v>
      </c>
    </row>
    <row r="77" spans="1:20" ht="14.25">
      <c r="B77" t="s">
        <v>114</v>
      </c>
      <c r="I77" s="69" t="s">
        <v>0</v>
      </c>
      <c r="J77" s="2">
        <f>$L$62</f>
        <v>2.1</v>
      </c>
      <c r="K77" t="s">
        <v>1</v>
      </c>
      <c r="L77" s="13">
        <v>0.85</v>
      </c>
      <c r="M77" s="46" t="s">
        <v>0</v>
      </c>
      <c r="N77" s="965">
        <f>L77*J77</f>
        <v>1.7849999999999999</v>
      </c>
      <c r="O77" s="965"/>
      <c r="P77" s="13" t="s">
        <v>7</v>
      </c>
    </row>
    <row r="78" spans="1:20" ht="14.25">
      <c r="L78" s="20" t="s">
        <v>88</v>
      </c>
      <c r="M78" s="69" t="s">
        <v>0</v>
      </c>
      <c r="N78" s="885">
        <f>SUM(N74:O77)</f>
        <v>17.259</v>
      </c>
      <c r="O78" s="885"/>
      <c r="P78" t="s">
        <v>7</v>
      </c>
    </row>
    <row r="79" spans="1:20" ht="8.25" customHeight="1"/>
    <row r="80" spans="1:20">
      <c r="B80" t="s">
        <v>115</v>
      </c>
    </row>
    <row r="81" spans="1:20" ht="14.25">
      <c r="B81" t="s">
        <v>111</v>
      </c>
      <c r="I81" s="69" t="s">
        <v>0</v>
      </c>
      <c r="J81" s="2">
        <f>$L$20</f>
        <v>12.000000000000002</v>
      </c>
      <c r="K81" t="s">
        <v>1</v>
      </c>
      <c r="L81">
        <v>0.35</v>
      </c>
      <c r="M81" s="69" t="s">
        <v>0</v>
      </c>
      <c r="N81" s="885">
        <f>L81*J81</f>
        <v>4.2</v>
      </c>
      <c r="O81" s="885"/>
      <c r="P81" t="s">
        <v>7</v>
      </c>
    </row>
    <row r="82" spans="1:20" ht="14.25">
      <c r="B82" t="s">
        <v>116</v>
      </c>
      <c r="I82" s="69" t="s">
        <v>0</v>
      </c>
      <c r="J82" s="2">
        <v>0.6</v>
      </c>
      <c r="K82" t="s">
        <v>1</v>
      </c>
      <c r="L82">
        <v>0.45</v>
      </c>
      <c r="M82" s="69" t="s">
        <v>0</v>
      </c>
      <c r="N82" s="890">
        <f>L82*J82</f>
        <v>0.27</v>
      </c>
      <c r="O82" s="890"/>
      <c r="P82" t="s">
        <v>7</v>
      </c>
    </row>
    <row r="83" spans="1:20" ht="14.25">
      <c r="B83" t="s">
        <v>117</v>
      </c>
      <c r="I83" s="69" t="s">
        <v>0</v>
      </c>
      <c r="J83" s="2">
        <v>2.1</v>
      </c>
      <c r="K83" t="s">
        <v>1</v>
      </c>
      <c r="L83">
        <v>0.45</v>
      </c>
      <c r="M83" s="69" t="s">
        <v>0</v>
      </c>
      <c r="N83" s="885">
        <f>L83*J83</f>
        <v>0.94500000000000006</v>
      </c>
      <c r="O83" s="885"/>
      <c r="P83" t="s">
        <v>7</v>
      </c>
    </row>
    <row r="84" spans="1:20" ht="14.25">
      <c r="B84" t="s">
        <v>118</v>
      </c>
      <c r="I84" s="69" t="s">
        <v>0</v>
      </c>
      <c r="J84" s="2">
        <f>$L$67</f>
        <v>25</v>
      </c>
      <c r="K84" t="s">
        <v>1</v>
      </c>
      <c r="L84" s="87">
        <v>1.4999999999999999E-2</v>
      </c>
      <c r="M84" s="46" t="s">
        <v>0</v>
      </c>
      <c r="N84" s="965">
        <f>L84*J84</f>
        <v>0.375</v>
      </c>
      <c r="O84" s="965"/>
      <c r="P84" s="13" t="s">
        <v>7</v>
      </c>
    </row>
    <row r="85" spans="1:20" ht="14.25">
      <c r="L85" s="20" t="s">
        <v>88</v>
      </c>
      <c r="M85" s="69" t="s">
        <v>0</v>
      </c>
      <c r="N85" s="885">
        <f>SUM(N81:O84)</f>
        <v>5.7900000000000009</v>
      </c>
      <c r="O85" s="885"/>
      <c r="P85" t="s">
        <v>7</v>
      </c>
    </row>
    <row r="86" spans="1:20">
      <c r="B86" t="s">
        <v>119</v>
      </c>
      <c r="E86" s="69" t="s">
        <v>0</v>
      </c>
      <c r="F86" s="2">
        <f>$N$78</f>
        <v>17.259</v>
      </c>
      <c r="G86" s="1" t="s">
        <v>14</v>
      </c>
      <c r="H86" s="2">
        <f>$N$85</f>
        <v>5.7900000000000009</v>
      </c>
      <c r="I86" s="69" t="s">
        <v>0</v>
      </c>
      <c r="J86" s="2">
        <f>F86+H86</f>
        <v>23.048999999999999</v>
      </c>
    </row>
    <row r="87" spans="1:20" ht="14.25">
      <c r="H87" s="8" t="s">
        <v>9</v>
      </c>
      <c r="I87" s="891">
        <v>53</v>
      </c>
      <c r="J87" s="891"/>
      <c r="K87" s="906" t="s">
        <v>10</v>
      </c>
      <c r="L87" s="907"/>
      <c r="R87" s="32" t="s">
        <v>0</v>
      </c>
      <c r="S87" s="23" t="s">
        <v>11</v>
      </c>
      <c r="T87" s="12">
        <f>ROUND(J86*I87,0)</f>
        <v>1222</v>
      </c>
    </row>
    <row r="88" spans="1:20">
      <c r="P88" s="950" t="s">
        <v>29</v>
      </c>
      <c r="Q88" s="950"/>
      <c r="R88" s="50" t="s">
        <v>0</v>
      </c>
      <c r="S88" s="49" t="s">
        <v>11</v>
      </c>
      <c r="T88" s="28">
        <f>SUM(T42:T87)</f>
        <v>43875</v>
      </c>
    </row>
    <row r="89" spans="1:20">
      <c r="P89" s="894" t="s">
        <v>120</v>
      </c>
      <c r="Q89" s="894"/>
      <c r="R89" s="50" t="s">
        <v>0</v>
      </c>
      <c r="S89" s="49" t="s">
        <v>11</v>
      </c>
      <c r="T89" s="28">
        <v>43875</v>
      </c>
    </row>
    <row r="90" spans="1:20">
      <c r="A90" s="54" t="s">
        <v>121</v>
      </c>
      <c r="B90" s="926" t="s">
        <v>122</v>
      </c>
      <c r="C90" s="926"/>
      <c r="D90" s="926"/>
      <c r="E90" s="926"/>
      <c r="F90" s="926"/>
      <c r="G90" s="926"/>
      <c r="H90" s="926"/>
      <c r="I90" s="926"/>
      <c r="J90" s="926"/>
      <c r="K90" s="926"/>
      <c r="L90" s="926"/>
      <c r="M90" s="926"/>
      <c r="N90" s="926"/>
      <c r="O90" s="926"/>
      <c r="P90" s="926"/>
      <c r="Q90" s="926"/>
    </row>
    <row r="91" spans="1:20">
      <c r="B91" s="3" t="s">
        <v>124</v>
      </c>
    </row>
    <row r="92" spans="1:20">
      <c r="C92" s="907" t="s">
        <v>52</v>
      </c>
      <c r="D92" s="907"/>
      <c r="E92" s="907"/>
      <c r="F92" s="907"/>
      <c r="G92" s="907"/>
      <c r="H92" s="907"/>
      <c r="I92" s="907"/>
      <c r="J92" s="907"/>
      <c r="K92" s="907"/>
    </row>
    <row r="93" spans="1:20">
      <c r="C93" t="s">
        <v>53</v>
      </c>
      <c r="L93" s="17"/>
      <c r="M93" s="17"/>
      <c r="N93" s="17"/>
      <c r="O93" s="9"/>
      <c r="P93" s="10"/>
      <c r="T93" s="11"/>
    </row>
    <row r="94" spans="1:20" ht="14.25">
      <c r="C94" t="s">
        <v>56</v>
      </c>
      <c r="F94" s="22"/>
      <c r="I94" s="24"/>
      <c r="J94" s="24"/>
      <c r="K94" s="47"/>
      <c r="L94" s="17"/>
      <c r="M94" s="60" t="s">
        <v>0</v>
      </c>
      <c r="N94" s="891">
        <f>$N$78</f>
        <v>17.259</v>
      </c>
      <c r="O94" s="891"/>
      <c r="P94" s="64" t="s">
        <v>7</v>
      </c>
      <c r="Q94" s="18"/>
      <c r="R94" s="18"/>
      <c r="S94" s="25"/>
      <c r="T94" s="57"/>
    </row>
    <row r="95" spans="1:20" ht="14.25">
      <c r="C95" t="s">
        <v>62</v>
      </c>
      <c r="F95" s="22"/>
      <c r="I95" s="24"/>
      <c r="J95" s="24"/>
      <c r="K95" s="47"/>
      <c r="L95" s="17"/>
      <c r="M95" s="60"/>
      <c r="N95" s="17"/>
      <c r="O95" s="17"/>
      <c r="P95" s="64"/>
      <c r="Q95" s="18"/>
      <c r="R95" s="18"/>
      <c r="S95" s="25"/>
      <c r="T95" s="57"/>
    </row>
    <row r="96" spans="1:20">
      <c r="D96" s="1" t="s">
        <v>0</v>
      </c>
      <c r="E96" s="891">
        <f>$N$78</f>
        <v>17.259</v>
      </c>
      <c r="F96" s="891"/>
      <c r="G96" t="s">
        <v>1</v>
      </c>
      <c r="H96" s="7">
        <v>2.4</v>
      </c>
      <c r="I96" t="s">
        <v>1</v>
      </c>
      <c r="J96" s="36">
        <v>10</v>
      </c>
      <c r="L96" s="17"/>
      <c r="M96" s="60" t="s">
        <v>0</v>
      </c>
      <c r="N96" s="888">
        <f>ROUND(E96*H96*J96,2)</f>
        <v>414.22</v>
      </c>
      <c r="O96" s="888"/>
      <c r="P96" s="65" t="s">
        <v>58</v>
      </c>
      <c r="Q96" s="58"/>
      <c r="R96" s="50"/>
      <c r="S96" s="49"/>
      <c r="T96" s="26"/>
    </row>
    <row r="97" spans="2:20">
      <c r="J97" s="886" t="s">
        <v>9</v>
      </c>
      <c r="K97" s="886"/>
      <c r="L97" s="891">
        <v>3</v>
      </c>
      <c r="M97" s="891"/>
      <c r="N97" s="9" t="s">
        <v>59</v>
      </c>
      <c r="O97" s="10"/>
      <c r="P97" s="2"/>
      <c r="R97" s="29" t="s">
        <v>0</v>
      </c>
      <c r="S97" s="16" t="s">
        <v>11</v>
      </c>
      <c r="T97" s="66">
        <f>ROUND(N96*L97,0)</f>
        <v>1243</v>
      </c>
    </row>
    <row r="98" spans="2:20">
      <c r="L98" s="17"/>
      <c r="M98" s="17"/>
      <c r="N98" s="17"/>
      <c r="O98" s="9"/>
      <c r="P98" s="49"/>
      <c r="Q98" s="49"/>
      <c r="R98" s="50"/>
      <c r="S98" s="49"/>
      <c r="T98" s="26"/>
    </row>
    <row r="99" spans="2:20">
      <c r="C99" t="s">
        <v>60</v>
      </c>
      <c r="L99" s="17"/>
      <c r="M99" s="17"/>
      <c r="N99" s="17"/>
      <c r="O99" s="9"/>
      <c r="P99" s="49"/>
      <c r="Q99" s="49"/>
      <c r="R99" s="50"/>
      <c r="S99" s="49"/>
      <c r="T99" s="26"/>
    </row>
    <row r="100" spans="2:20">
      <c r="D100" s="1" t="s">
        <v>0</v>
      </c>
      <c r="E100" s="888">
        <f>$N$78</f>
        <v>17.259</v>
      </c>
      <c r="F100" s="888"/>
      <c r="G100" t="s">
        <v>1</v>
      </c>
      <c r="H100" s="7">
        <v>2.4</v>
      </c>
      <c r="I100" t="s">
        <v>1</v>
      </c>
      <c r="J100" s="36">
        <v>1</v>
      </c>
      <c r="L100" s="17"/>
      <c r="M100" s="60" t="s">
        <v>0</v>
      </c>
      <c r="N100" s="888">
        <f>ROUND(E100*H100*J100,2)</f>
        <v>41.42</v>
      </c>
      <c r="O100" s="888"/>
      <c r="P100" s="65" t="s">
        <v>58</v>
      </c>
      <c r="Q100" s="58"/>
      <c r="R100" s="50"/>
      <c r="S100" s="49"/>
      <c r="T100" s="26"/>
    </row>
    <row r="101" spans="2:20">
      <c r="J101" s="886" t="s">
        <v>9</v>
      </c>
      <c r="K101" s="886"/>
      <c r="L101" s="891">
        <v>4.3</v>
      </c>
      <c r="M101" s="891"/>
      <c r="N101" s="9" t="s">
        <v>59</v>
      </c>
      <c r="O101" s="10"/>
      <c r="P101" s="2"/>
      <c r="R101" s="29" t="s">
        <v>0</v>
      </c>
      <c r="S101" s="16" t="s">
        <v>11</v>
      </c>
      <c r="T101" s="66">
        <f>ROUND(N100*L101,0)</f>
        <v>178</v>
      </c>
    </row>
    <row r="102" spans="2:20">
      <c r="R102" s="16"/>
      <c r="S102" s="16"/>
    </row>
    <row r="103" spans="2:20">
      <c r="B103" s="3" t="s">
        <v>123</v>
      </c>
      <c r="R103" s="16"/>
      <c r="S103" s="16"/>
    </row>
    <row r="104" spans="2:20">
      <c r="C104" s="890" t="s">
        <v>54</v>
      </c>
      <c r="D104" s="890"/>
      <c r="E104" s="890"/>
      <c r="F104" s="890"/>
      <c r="G104" s="890"/>
      <c r="H104" s="890"/>
      <c r="I104" s="890"/>
      <c r="J104" s="890"/>
      <c r="K104" s="890"/>
      <c r="R104" s="16"/>
      <c r="S104" s="16"/>
    </row>
    <row r="105" spans="2:20">
      <c r="C105" t="s">
        <v>55</v>
      </c>
      <c r="R105" s="16"/>
      <c r="S105" s="16"/>
    </row>
    <row r="106" spans="2:20" ht="14.25">
      <c r="C106" t="s">
        <v>61</v>
      </c>
      <c r="F106" s="22"/>
      <c r="I106" s="24"/>
      <c r="J106" s="24"/>
      <c r="K106" s="47"/>
      <c r="L106" s="17"/>
      <c r="M106" s="60" t="s">
        <v>0</v>
      </c>
      <c r="N106" s="891">
        <f>$N$85</f>
        <v>5.7900000000000009</v>
      </c>
      <c r="O106" s="891"/>
      <c r="P106" s="64" t="s">
        <v>7</v>
      </c>
      <c r="Q106" s="18"/>
      <c r="R106" s="18"/>
      <c r="S106" s="25"/>
      <c r="T106" s="57"/>
    </row>
    <row r="107" spans="2:20" ht="14.25">
      <c r="C107" t="s">
        <v>63</v>
      </c>
      <c r="F107" s="22"/>
      <c r="I107" s="24"/>
      <c r="J107" s="24"/>
      <c r="K107" s="47"/>
      <c r="L107" s="17"/>
      <c r="M107" s="60"/>
      <c r="N107" s="17"/>
      <c r="O107" s="17"/>
      <c r="P107" s="64"/>
      <c r="Q107" s="18"/>
      <c r="R107" s="18"/>
      <c r="S107" s="25"/>
      <c r="T107" s="57"/>
    </row>
    <row r="108" spans="2:20">
      <c r="D108" s="1" t="s">
        <v>0</v>
      </c>
      <c r="E108" s="888">
        <f>$N$85</f>
        <v>5.7900000000000009</v>
      </c>
      <c r="F108" s="888"/>
      <c r="G108" t="s">
        <v>1</v>
      </c>
      <c r="H108" s="7">
        <v>1.84</v>
      </c>
      <c r="I108" t="s">
        <v>1</v>
      </c>
      <c r="J108" s="36">
        <v>14</v>
      </c>
      <c r="L108" s="8"/>
      <c r="M108" s="60" t="s">
        <v>0</v>
      </c>
      <c r="N108" s="888">
        <f>ROUND(E108*H108*J108,2)</f>
        <v>149.15</v>
      </c>
      <c r="O108" s="888"/>
      <c r="P108" s="65" t="s">
        <v>58</v>
      </c>
      <c r="Q108" s="58"/>
      <c r="R108" s="50"/>
      <c r="S108" s="49"/>
      <c r="T108" s="26"/>
    </row>
    <row r="109" spans="2:20">
      <c r="J109" s="886" t="s">
        <v>9</v>
      </c>
      <c r="K109" s="886"/>
      <c r="L109" s="891">
        <v>3</v>
      </c>
      <c r="M109" s="891"/>
      <c r="N109" s="9" t="s">
        <v>59</v>
      </c>
      <c r="O109" s="10"/>
      <c r="P109" s="2"/>
      <c r="R109" s="29" t="s">
        <v>0</v>
      </c>
      <c r="S109" s="16" t="s">
        <v>11</v>
      </c>
      <c r="T109" s="66">
        <f>ROUND(N108*L109,0)</f>
        <v>447</v>
      </c>
    </row>
    <row r="110" spans="2:20">
      <c r="L110" s="17"/>
      <c r="M110" s="17"/>
      <c r="N110" s="17"/>
      <c r="O110" s="9"/>
      <c r="P110" s="49"/>
      <c r="Q110" s="49"/>
      <c r="R110" s="50"/>
      <c r="S110" s="49"/>
      <c r="T110" s="26"/>
    </row>
    <row r="111" spans="2:20">
      <c r="C111" t="s">
        <v>60</v>
      </c>
      <c r="L111" s="17"/>
      <c r="M111" s="17"/>
      <c r="N111" s="17"/>
      <c r="O111" s="9"/>
      <c r="P111" s="49"/>
      <c r="Q111" s="49"/>
      <c r="R111" s="50"/>
      <c r="S111" s="49"/>
      <c r="T111" s="26"/>
    </row>
    <row r="112" spans="2:20">
      <c r="D112" s="1" t="s">
        <v>0</v>
      </c>
      <c r="E112" s="888">
        <f>$N$85</f>
        <v>5.7900000000000009</v>
      </c>
      <c r="F112" s="888"/>
      <c r="G112" t="s">
        <v>1</v>
      </c>
      <c r="H112" s="7">
        <v>1.84</v>
      </c>
      <c r="I112" t="s">
        <v>1</v>
      </c>
      <c r="J112" s="36">
        <v>1</v>
      </c>
      <c r="L112" s="17"/>
      <c r="M112" s="60" t="s">
        <v>0</v>
      </c>
      <c r="N112" s="888">
        <f>ROUND(E112*H112*J112,2)</f>
        <v>10.65</v>
      </c>
      <c r="O112" s="888"/>
      <c r="P112" s="65" t="s">
        <v>58</v>
      </c>
      <c r="Q112" s="58"/>
      <c r="R112" s="50"/>
      <c r="S112" s="49"/>
      <c r="T112" s="26"/>
    </row>
    <row r="113" spans="1:20">
      <c r="J113" s="886" t="s">
        <v>9</v>
      </c>
      <c r="K113" s="886"/>
      <c r="L113" s="891">
        <v>4.3</v>
      </c>
      <c r="M113" s="891"/>
      <c r="N113" s="9" t="s">
        <v>59</v>
      </c>
      <c r="O113" s="10"/>
      <c r="P113" s="2"/>
      <c r="R113" s="29" t="s">
        <v>0</v>
      </c>
      <c r="S113" s="16" t="s">
        <v>11</v>
      </c>
      <c r="T113" s="66">
        <f>ROUND(N112*L113,0)</f>
        <v>46</v>
      </c>
    </row>
    <row r="116" spans="1:20">
      <c r="A116" s="29" t="s">
        <v>69</v>
      </c>
      <c r="B116" t="s">
        <v>71</v>
      </c>
      <c r="F116" s="17"/>
      <c r="G116" s="16"/>
      <c r="I116" s="48"/>
      <c r="J116" s="2"/>
      <c r="L116" s="34"/>
      <c r="M116" s="33"/>
      <c r="N116" s="18"/>
      <c r="O116" s="18"/>
      <c r="P116" s="18"/>
      <c r="Q116" s="18"/>
      <c r="R116" s="18"/>
      <c r="S116" s="25"/>
      <c r="T116" s="57"/>
    </row>
    <row r="117" spans="1:20" ht="14.25">
      <c r="B117" t="s">
        <v>72</v>
      </c>
      <c r="F117" s="17"/>
      <c r="G117" s="16"/>
      <c r="I117" s="48" t="s">
        <v>0</v>
      </c>
      <c r="J117" s="891">
        <f>$N$78</f>
        <v>17.259</v>
      </c>
      <c r="K117" s="891"/>
      <c r="L117" s="34" t="s">
        <v>7</v>
      </c>
      <c r="M117" s="33"/>
      <c r="N117" s="18"/>
      <c r="O117" s="18"/>
      <c r="P117" s="18"/>
      <c r="Q117" s="18"/>
      <c r="R117" s="18"/>
      <c r="S117" s="25"/>
      <c r="T117" s="57"/>
    </row>
    <row r="118" spans="1:20" ht="14.25">
      <c r="F118" s="886" t="s">
        <v>9</v>
      </c>
      <c r="G118" s="886"/>
      <c r="H118" s="910">
        <v>98.68</v>
      </c>
      <c r="I118" s="910"/>
      <c r="J118" s="67" t="s">
        <v>73</v>
      </c>
      <c r="L118" s="34"/>
      <c r="M118" s="33"/>
      <c r="N118" s="18"/>
      <c r="O118" s="18"/>
      <c r="P118" s="18"/>
      <c r="Q118" s="18"/>
      <c r="R118" s="29" t="s">
        <v>0</v>
      </c>
      <c r="S118" s="25" t="s">
        <v>11</v>
      </c>
      <c r="T118" s="57">
        <f>ROUND(J117*H118,0)</f>
        <v>1703</v>
      </c>
    </row>
    <row r="119" spans="1:20">
      <c r="F119" s="17"/>
      <c r="G119" s="16"/>
      <c r="I119" s="48"/>
      <c r="J119" s="2"/>
      <c r="L119" s="34"/>
      <c r="M119" s="33"/>
      <c r="N119" s="18"/>
      <c r="O119" s="18"/>
      <c r="P119" s="18"/>
      <c r="Q119" s="18"/>
      <c r="R119" s="18"/>
      <c r="S119" s="25"/>
      <c r="T119" s="57"/>
    </row>
    <row r="120" spans="1:20" ht="14.25">
      <c r="B120" t="s">
        <v>74</v>
      </c>
      <c r="F120" s="17"/>
      <c r="G120" s="16"/>
      <c r="I120" s="48" t="s">
        <v>0</v>
      </c>
      <c r="J120" s="891">
        <f>$N$85</f>
        <v>5.7900000000000009</v>
      </c>
      <c r="K120" s="891"/>
      <c r="L120" s="34" t="s">
        <v>7</v>
      </c>
      <c r="M120" s="33"/>
      <c r="N120" s="18"/>
      <c r="O120" s="18"/>
      <c r="P120" s="18"/>
      <c r="Q120" s="18"/>
      <c r="R120" s="18"/>
      <c r="S120" s="25"/>
      <c r="T120" s="57"/>
    </row>
    <row r="121" spans="1:20" ht="14.25">
      <c r="F121" s="886" t="s">
        <v>9</v>
      </c>
      <c r="G121" s="886"/>
      <c r="H121" s="910">
        <v>36.72</v>
      </c>
      <c r="I121" s="910"/>
      <c r="J121" s="67" t="s">
        <v>73</v>
      </c>
      <c r="L121" s="34"/>
      <c r="M121" s="33"/>
      <c r="N121" s="18"/>
      <c r="O121" s="13"/>
      <c r="P121" s="13"/>
      <c r="Q121" s="13"/>
      <c r="R121" s="32" t="s">
        <v>0</v>
      </c>
      <c r="S121" s="23" t="s">
        <v>11</v>
      </c>
      <c r="T121" s="27">
        <f>ROUND(J120*H121,0)</f>
        <v>213</v>
      </c>
    </row>
    <row r="122" spans="1:20">
      <c r="P122" s="3" t="s">
        <v>125</v>
      </c>
      <c r="Q122" s="3"/>
      <c r="R122" s="50" t="s">
        <v>0</v>
      </c>
      <c r="S122" s="58" t="s">
        <v>11</v>
      </c>
      <c r="T122" s="28">
        <f>SUM(T89:T121)</f>
        <v>47705</v>
      </c>
    </row>
    <row r="123" spans="1:20">
      <c r="P123" s="3"/>
      <c r="Q123" s="3"/>
      <c r="R123" s="50"/>
      <c r="S123" s="58"/>
      <c r="T123" s="28"/>
    </row>
    <row r="125" spans="1:20">
      <c r="D125" s="892" t="s">
        <v>243</v>
      </c>
      <c r="E125" s="892"/>
      <c r="F125" s="892"/>
      <c r="G125" s="892"/>
      <c r="H125" s="892"/>
      <c r="I125" s="892"/>
      <c r="J125" s="892"/>
      <c r="K125" s="980">
        <f>$T$122</f>
        <v>47705</v>
      </c>
      <c r="L125" s="980"/>
      <c r="M125" s="980"/>
      <c r="N125" s="981" t="s">
        <v>242</v>
      </c>
      <c r="O125" s="982"/>
      <c r="P125" s="896">
        <f>ROUND(K125/L126,2)</f>
        <v>4770.5</v>
      </c>
      <c r="Q125" s="979" t="s">
        <v>18</v>
      </c>
      <c r="R125" s="979"/>
    </row>
    <row r="126" spans="1:20">
      <c r="D126" s="892"/>
      <c r="E126" s="892"/>
      <c r="F126" s="892"/>
      <c r="G126" s="892"/>
      <c r="H126" s="892"/>
      <c r="I126" s="892"/>
      <c r="J126" s="892"/>
      <c r="L126" s="7">
        <v>10</v>
      </c>
      <c r="N126" s="982"/>
      <c r="O126" s="982"/>
      <c r="P126" s="896"/>
      <c r="Q126" s="979"/>
      <c r="R126" s="979"/>
    </row>
    <row r="140" spans="2:20">
      <c r="B140" t="s">
        <v>229</v>
      </c>
      <c r="O140" t="s">
        <v>226</v>
      </c>
    </row>
    <row r="141" spans="2:20">
      <c r="B141" t="s">
        <v>230</v>
      </c>
      <c r="O141" t="s">
        <v>227</v>
      </c>
    </row>
    <row r="142" spans="2:20">
      <c r="B142" t="s">
        <v>231</v>
      </c>
      <c r="O142" t="s">
        <v>228</v>
      </c>
    </row>
    <row r="143" spans="2:20">
      <c r="P143" s="3" t="s">
        <v>258</v>
      </c>
    </row>
    <row r="144" spans="2:20" ht="29.25" customHeight="1">
      <c r="B144" s="978" t="s">
        <v>126</v>
      </c>
      <c r="C144" s="978"/>
      <c r="D144" s="978"/>
      <c r="E144" s="978"/>
      <c r="F144" s="978"/>
      <c r="G144" s="978"/>
      <c r="H144" s="978"/>
      <c r="I144" s="978"/>
      <c r="J144" s="978"/>
      <c r="K144" s="978"/>
      <c r="L144" s="978"/>
      <c r="M144" s="978"/>
      <c r="N144" s="978"/>
      <c r="O144" s="978"/>
      <c r="P144" s="978"/>
      <c r="Q144" s="978"/>
      <c r="R144" s="978"/>
      <c r="S144" s="978"/>
      <c r="T144" s="59"/>
    </row>
    <row r="145" spans="1:20">
      <c r="A145" s="59"/>
      <c r="B145" s="59"/>
      <c r="C145" s="59"/>
      <c r="D145" s="59"/>
      <c r="E145" s="59"/>
      <c r="F145" s="59"/>
      <c r="G145" s="59"/>
      <c r="H145" s="59"/>
      <c r="I145" s="59"/>
      <c r="J145" s="59"/>
      <c r="K145" s="59"/>
      <c r="L145" s="59"/>
      <c r="M145" s="59"/>
      <c r="N145" s="59"/>
      <c r="O145" s="59"/>
      <c r="P145" s="59"/>
      <c r="Q145" s="59"/>
      <c r="R145" s="59"/>
      <c r="S145" s="59"/>
      <c r="T145" s="59"/>
    </row>
    <row r="146" spans="1:20" ht="69" customHeight="1">
      <c r="A146" s="54" t="s">
        <v>32</v>
      </c>
      <c r="B146" s="936" t="s">
        <v>30</v>
      </c>
      <c r="C146" s="936"/>
      <c r="D146" s="936"/>
      <c r="E146" s="936"/>
      <c r="F146" s="936"/>
      <c r="G146" s="936"/>
      <c r="H146" s="936"/>
      <c r="I146" s="936"/>
      <c r="J146" s="936"/>
      <c r="K146" s="936"/>
      <c r="L146" s="936"/>
      <c r="M146" s="936"/>
      <c r="N146" s="936"/>
      <c r="O146" s="936"/>
      <c r="P146" s="936"/>
      <c r="Q146" s="936"/>
    </row>
    <row r="147" spans="1:20">
      <c r="A147" s="52"/>
      <c r="B147" s="908" t="s">
        <v>82</v>
      </c>
      <c r="C147" s="908"/>
      <c r="D147" s="908"/>
      <c r="E147" s="908"/>
      <c r="F147" s="908"/>
      <c r="G147" s="908"/>
      <c r="H147" s="908"/>
      <c r="I147" s="908"/>
      <c r="J147" s="908"/>
      <c r="K147" s="908"/>
      <c r="L147" s="908"/>
      <c r="M147" s="908"/>
      <c r="N147" s="908"/>
      <c r="O147" s="908"/>
      <c r="P147" s="908"/>
      <c r="Q147" s="908"/>
    </row>
    <row r="148" spans="1:20">
      <c r="A148" s="42"/>
      <c r="B148" s="908" t="s">
        <v>31</v>
      </c>
      <c r="C148" s="908"/>
      <c r="D148" s="908"/>
      <c r="E148" s="908"/>
      <c r="F148" s="908"/>
      <c r="G148" s="908"/>
      <c r="H148" s="908"/>
      <c r="I148" s="908"/>
      <c r="J148" s="908"/>
      <c r="K148" s="908"/>
      <c r="L148" s="908"/>
      <c r="M148" s="908"/>
      <c r="N148" s="908"/>
      <c r="O148" s="908"/>
      <c r="P148" s="908"/>
      <c r="Q148" s="908"/>
    </row>
    <row r="149" spans="1:20" ht="14.25">
      <c r="A149" s="18"/>
      <c r="B149" s="56" t="s">
        <v>244</v>
      </c>
      <c r="C149" s="35"/>
      <c r="D149" s="33"/>
      <c r="E149" s="33"/>
      <c r="F149" s="34"/>
      <c r="G149" s="33"/>
      <c r="H149" s="34"/>
      <c r="I149" s="922">
        <v>7397.63</v>
      </c>
      <c r="J149" s="922"/>
      <c r="K149" s="922"/>
      <c r="L149" s="64" t="s">
        <v>7</v>
      </c>
      <c r="M149" s="33"/>
      <c r="N149" s="33"/>
      <c r="O149" s="35"/>
      <c r="P149" s="19"/>
      <c r="Q149" s="18"/>
      <c r="R149" s="18"/>
      <c r="S149" s="18"/>
      <c r="T149" s="18"/>
    </row>
    <row r="150" spans="1:20" ht="14.25">
      <c r="B150" s="43"/>
      <c r="C150" s="1"/>
      <c r="F150" s="8" t="s">
        <v>9</v>
      </c>
      <c r="G150" s="891">
        <v>80</v>
      </c>
      <c r="H150" s="891"/>
      <c r="I150" s="906" t="s">
        <v>10</v>
      </c>
      <c r="J150" s="907"/>
      <c r="R150" s="29" t="s">
        <v>0</v>
      </c>
      <c r="S150" s="16" t="s">
        <v>11</v>
      </c>
      <c r="T150" s="11">
        <f>ROUND(I149*G150,0)</f>
        <v>591810</v>
      </c>
    </row>
    <row r="153" spans="1:20" ht="38.25" customHeight="1">
      <c r="A153" s="54" t="s">
        <v>127</v>
      </c>
      <c r="B153" s="936" t="s">
        <v>128</v>
      </c>
      <c r="C153" s="936"/>
      <c r="D153" s="936"/>
      <c r="E153" s="936"/>
      <c r="F153" s="936"/>
      <c r="G153" s="936"/>
      <c r="H153" s="936"/>
      <c r="I153" s="936"/>
      <c r="J153" s="936"/>
      <c r="K153" s="936"/>
      <c r="L153" s="936"/>
      <c r="M153" s="936"/>
      <c r="N153" s="936"/>
      <c r="O153" s="936"/>
      <c r="P153" s="936"/>
      <c r="Q153" s="936"/>
    </row>
    <row r="154" spans="1:20" ht="14.25">
      <c r="A154" s="18"/>
      <c r="B154" s="56" t="s">
        <v>246</v>
      </c>
      <c r="C154" s="35"/>
      <c r="D154" s="33"/>
      <c r="E154" s="33"/>
      <c r="F154" s="34"/>
      <c r="G154" s="33"/>
      <c r="H154" s="34"/>
      <c r="I154" s="922">
        <v>18173.419999999998</v>
      </c>
      <c r="J154" s="922"/>
      <c r="K154" s="922"/>
      <c r="L154" s="64" t="s">
        <v>7</v>
      </c>
      <c r="M154" s="33"/>
      <c r="N154" s="33"/>
      <c r="O154" s="35"/>
      <c r="P154" s="19"/>
      <c r="Q154" s="18"/>
      <c r="R154" s="18"/>
      <c r="S154" s="18"/>
      <c r="T154" s="18"/>
    </row>
    <row r="155" spans="1:20" ht="14.25">
      <c r="B155" s="43"/>
      <c r="C155" s="1"/>
      <c r="F155" s="8" t="s">
        <v>9</v>
      </c>
      <c r="G155" s="891">
        <v>1954</v>
      </c>
      <c r="H155" s="891"/>
      <c r="I155" s="906" t="s">
        <v>10</v>
      </c>
      <c r="J155" s="907"/>
      <c r="R155" s="29" t="s">
        <v>0</v>
      </c>
      <c r="S155" s="16" t="s">
        <v>11</v>
      </c>
      <c r="T155" s="11">
        <f>ROUND(I154*G155,0)</f>
        <v>35510863</v>
      </c>
    </row>
    <row r="158" spans="1:20" ht="38.25">
      <c r="A158" s="54" t="s">
        <v>129</v>
      </c>
      <c r="B158" s="936" t="s">
        <v>130</v>
      </c>
      <c r="C158" s="936"/>
      <c r="D158" s="936"/>
      <c r="E158" s="936"/>
      <c r="F158" s="936"/>
      <c r="G158" s="936"/>
      <c r="H158" s="936"/>
      <c r="I158" s="936"/>
      <c r="J158" s="936"/>
      <c r="K158" s="936"/>
      <c r="L158" s="936"/>
      <c r="M158" s="936"/>
      <c r="N158" s="936"/>
      <c r="O158" s="936"/>
      <c r="P158" s="936"/>
      <c r="Q158" s="936"/>
    </row>
    <row r="159" spans="1:20" ht="14.25">
      <c r="A159" s="18"/>
      <c r="B159" s="56" t="s">
        <v>245</v>
      </c>
      <c r="C159" s="35"/>
      <c r="D159" s="33"/>
      <c r="E159" s="33"/>
      <c r="F159" s="34"/>
      <c r="G159" s="33"/>
      <c r="H159" s="34"/>
      <c r="I159" s="922">
        <v>5841.58</v>
      </c>
      <c r="J159" s="922"/>
      <c r="K159" s="922"/>
      <c r="L159" s="64" t="s">
        <v>7</v>
      </c>
      <c r="M159" s="33"/>
      <c r="N159" s="33"/>
      <c r="O159" s="35"/>
      <c r="P159" s="19"/>
      <c r="Q159" s="18"/>
      <c r="R159" s="18"/>
      <c r="S159" s="18"/>
      <c r="T159" s="18"/>
    </row>
    <row r="160" spans="1:20" ht="14.25">
      <c r="B160" s="43"/>
      <c r="C160" s="1"/>
      <c r="F160" s="8" t="s">
        <v>9</v>
      </c>
      <c r="G160" s="891">
        <v>434</v>
      </c>
      <c r="H160" s="891"/>
      <c r="I160" s="906" t="s">
        <v>10</v>
      </c>
      <c r="J160" s="907"/>
      <c r="R160" s="29" t="s">
        <v>0</v>
      </c>
      <c r="S160" s="16" t="s">
        <v>11</v>
      </c>
      <c r="T160" s="11">
        <f>ROUND(I159*G160,0)</f>
        <v>2535246</v>
      </c>
    </row>
    <row r="163" spans="1:20" ht="38.25">
      <c r="A163" s="54" t="s">
        <v>131</v>
      </c>
      <c r="B163" s="936" t="s">
        <v>132</v>
      </c>
      <c r="C163" s="936"/>
      <c r="D163" s="936"/>
      <c r="E163" s="936"/>
      <c r="F163" s="936"/>
      <c r="G163" s="936"/>
      <c r="H163" s="936"/>
      <c r="I163" s="936"/>
      <c r="J163" s="936"/>
      <c r="K163" s="936"/>
      <c r="L163" s="936"/>
      <c r="M163" s="936"/>
      <c r="N163" s="936"/>
      <c r="O163" s="936"/>
      <c r="P163" s="936"/>
      <c r="Q163" s="936"/>
    </row>
    <row r="164" spans="1:20" ht="14.25">
      <c r="A164" s="18"/>
      <c r="B164" s="56" t="s">
        <v>245</v>
      </c>
      <c r="C164" s="35"/>
      <c r="D164" s="33"/>
      <c r="E164" s="33"/>
      <c r="F164" s="34"/>
      <c r="G164" s="33"/>
      <c r="H164" s="34"/>
      <c r="I164" s="922">
        <v>5312.16</v>
      </c>
      <c r="J164" s="922"/>
      <c r="K164" s="922"/>
      <c r="L164" s="64" t="s">
        <v>16</v>
      </c>
      <c r="M164" s="33"/>
      <c r="N164" s="33"/>
      <c r="O164" s="35"/>
      <c r="P164" s="19"/>
      <c r="Q164" s="18"/>
      <c r="R164" s="18"/>
      <c r="S164" s="18"/>
      <c r="T164" s="18"/>
    </row>
    <row r="165" spans="1:20" ht="14.25">
      <c r="B165" s="43"/>
      <c r="C165" s="1"/>
      <c r="F165" s="8" t="s">
        <v>9</v>
      </c>
      <c r="G165" s="891">
        <v>68</v>
      </c>
      <c r="H165" s="891"/>
      <c r="I165" s="906" t="s">
        <v>17</v>
      </c>
      <c r="J165" s="907"/>
      <c r="R165" s="29" t="s">
        <v>0</v>
      </c>
      <c r="S165" s="16" t="s">
        <v>11</v>
      </c>
      <c r="T165" s="11">
        <f>ROUND(I164*G165,0)</f>
        <v>361227</v>
      </c>
    </row>
    <row r="166" spans="1:20">
      <c r="B166" s="43"/>
      <c r="C166" s="1"/>
      <c r="F166" s="8"/>
      <c r="G166" s="17"/>
      <c r="H166" s="17"/>
      <c r="I166" s="9"/>
      <c r="J166" s="10"/>
      <c r="R166" s="29"/>
      <c r="S166" s="16"/>
      <c r="T166" s="11"/>
    </row>
    <row r="167" spans="1:20">
      <c r="B167" s="43"/>
      <c r="C167" s="1"/>
      <c r="F167" s="8"/>
      <c r="G167" s="17"/>
      <c r="H167" s="17"/>
      <c r="I167" s="9"/>
      <c r="J167" s="10"/>
      <c r="R167" s="29"/>
      <c r="S167" s="16"/>
      <c r="T167" s="11"/>
    </row>
    <row r="168" spans="1:20" ht="27.75" customHeight="1">
      <c r="A168" s="98" t="s">
        <v>224</v>
      </c>
      <c r="B168" s="924" t="s">
        <v>211</v>
      </c>
      <c r="C168" s="924"/>
      <c r="D168" s="924"/>
      <c r="E168" s="924"/>
      <c r="F168" s="924"/>
      <c r="G168" s="924"/>
      <c r="H168" s="924"/>
      <c r="I168" s="924"/>
      <c r="J168" s="924"/>
      <c r="K168" s="924"/>
      <c r="L168" s="924"/>
      <c r="M168" s="924"/>
      <c r="N168" s="924"/>
      <c r="O168" s="924"/>
      <c r="P168" s="924"/>
      <c r="Q168" s="924"/>
      <c r="R168" s="29"/>
      <c r="S168" s="16"/>
      <c r="T168" s="11"/>
    </row>
    <row r="169" spans="1:20">
      <c r="A169" s="95">
        <v>1.2</v>
      </c>
      <c r="B169" s="926" t="s">
        <v>109</v>
      </c>
      <c r="C169" s="926"/>
      <c r="D169" s="926"/>
      <c r="E169" s="926"/>
      <c r="F169" s="926"/>
      <c r="G169" s="926"/>
      <c r="H169" s="926"/>
      <c r="I169" s="926"/>
      <c r="J169" s="926"/>
      <c r="K169" s="926"/>
      <c r="L169" s="926"/>
      <c r="M169" s="926"/>
      <c r="N169" s="926"/>
      <c r="O169" s="926"/>
      <c r="P169" s="926"/>
      <c r="Q169" s="926"/>
    </row>
    <row r="170" spans="1:20">
      <c r="B170" t="s">
        <v>110</v>
      </c>
    </row>
    <row r="171" spans="1:20" ht="14.25">
      <c r="B171" t="s">
        <v>133</v>
      </c>
      <c r="I171" s="923">
        <f>$I$154</f>
        <v>18173.419999999998</v>
      </c>
      <c r="J171" s="923"/>
      <c r="K171" s="923"/>
      <c r="L171" s="33" t="s">
        <v>1</v>
      </c>
      <c r="M171" s="937">
        <v>1.1599999999999999</v>
      </c>
      <c r="N171" s="937"/>
      <c r="O171" s="76" t="s">
        <v>0</v>
      </c>
      <c r="P171" s="18">
        <f>I171*M171</f>
        <v>21081.167199999996</v>
      </c>
      <c r="Q171" t="s">
        <v>7</v>
      </c>
    </row>
    <row r="172" spans="1:20" ht="14.25">
      <c r="B172" t="s">
        <v>134</v>
      </c>
      <c r="I172" s="923">
        <f>$I$159</f>
        <v>5841.58</v>
      </c>
      <c r="J172" s="923"/>
      <c r="K172" s="923"/>
      <c r="L172" s="33" t="s">
        <v>1</v>
      </c>
      <c r="M172" s="938">
        <v>1.1599999999999999</v>
      </c>
      <c r="N172" s="938"/>
      <c r="O172" s="14" t="s">
        <v>0</v>
      </c>
      <c r="P172" s="12">
        <f>I172*M172</f>
        <v>6776.2327999999998</v>
      </c>
      <c r="Q172" s="13" t="s">
        <v>7</v>
      </c>
    </row>
    <row r="173" spans="1:20" ht="14.25">
      <c r="I173" s="19"/>
      <c r="J173" s="19"/>
      <c r="K173" s="19"/>
      <c r="L173" s="33"/>
      <c r="M173" s="69"/>
      <c r="N173" s="39" t="s">
        <v>88</v>
      </c>
      <c r="O173" s="76" t="s">
        <v>0</v>
      </c>
      <c r="P173" s="19">
        <f>SUM(P171:P172)</f>
        <v>27857.399999999994</v>
      </c>
      <c r="Q173" t="s">
        <v>7</v>
      </c>
    </row>
    <row r="174" spans="1:20">
      <c r="I174" s="69"/>
      <c r="J174" s="19"/>
      <c r="K174" s="18"/>
      <c r="L174" s="18"/>
      <c r="M174" s="69"/>
      <c r="N174" s="19"/>
      <c r="O174" s="19"/>
      <c r="P174" s="18"/>
    </row>
    <row r="175" spans="1:20">
      <c r="B175" t="s">
        <v>115</v>
      </c>
    </row>
    <row r="176" spans="1:20" ht="14.25">
      <c r="B176" t="s">
        <v>133</v>
      </c>
      <c r="I176" s="985">
        <f>$I$154</f>
        <v>18173.419999999998</v>
      </c>
      <c r="J176" s="937"/>
      <c r="K176" s="937"/>
      <c r="L176" s="33" t="s">
        <v>1</v>
      </c>
      <c r="M176" s="937">
        <v>0.35</v>
      </c>
      <c r="N176" s="937"/>
      <c r="O176" s="76" t="s">
        <v>0</v>
      </c>
      <c r="P176" s="18">
        <f>I176*M176</f>
        <v>6360.6969999999992</v>
      </c>
      <c r="Q176" t="s">
        <v>7</v>
      </c>
    </row>
    <row r="177" spans="1:21" ht="14.25">
      <c r="B177" t="s">
        <v>135</v>
      </c>
      <c r="I177" s="985">
        <f>$I$164</f>
        <v>5312.16</v>
      </c>
      <c r="J177" s="937"/>
      <c r="K177" s="937"/>
      <c r="L177" s="33" t="s">
        <v>1</v>
      </c>
      <c r="M177" s="938">
        <v>1.4999999999999999E-2</v>
      </c>
      <c r="N177" s="938"/>
      <c r="O177" s="14" t="s">
        <v>0</v>
      </c>
      <c r="P177" s="12">
        <f>I177*M177</f>
        <v>79.682400000000001</v>
      </c>
      <c r="Q177" s="13" t="s">
        <v>7</v>
      </c>
    </row>
    <row r="178" spans="1:21" ht="14.25">
      <c r="I178" s="18"/>
      <c r="J178" s="18"/>
      <c r="K178" s="18"/>
      <c r="L178" s="33"/>
      <c r="M178" s="69"/>
      <c r="N178" s="39" t="s">
        <v>88</v>
      </c>
      <c r="O178" s="76" t="s">
        <v>0</v>
      </c>
      <c r="P178" s="19">
        <f>SUM(P176:P177)</f>
        <v>6440.3793999999989</v>
      </c>
      <c r="Q178" t="s">
        <v>7</v>
      </c>
    </row>
    <row r="179" spans="1:21" ht="14.25">
      <c r="B179" t="s">
        <v>225</v>
      </c>
      <c r="D179" s="89"/>
      <c r="E179" s="963">
        <f>$P$173</f>
        <v>27857.399999999994</v>
      </c>
      <c r="F179" s="963"/>
      <c r="G179" s="963"/>
      <c r="H179" s="60" t="s">
        <v>14</v>
      </c>
      <c r="I179" s="964">
        <f>$P$178</f>
        <v>6440.3793999999989</v>
      </c>
      <c r="J179" s="964"/>
      <c r="K179" s="1" t="s">
        <v>0</v>
      </c>
      <c r="L179" s="885">
        <f>E179+I179</f>
        <v>34297.779399999992</v>
      </c>
      <c r="M179" s="890"/>
      <c r="N179" s="890"/>
      <c r="O179" t="s">
        <v>7</v>
      </c>
    </row>
    <row r="180" spans="1:21" ht="14.25">
      <c r="H180" s="8" t="s">
        <v>9</v>
      </c>
      <c r="I180" s="891">
        <v>53</v>
      </c>
      <c r="J180" s="891"/>
      <c r="K180" s="906" t="s">
        <v>10</v>
      </c>
      <c r="L180" s="907"/>
      <c r="R180" s="35" t="s">
        <v>0</v>
      </c>
      <c r="S180" s="25" t="s">
        <v>11</v>
      </c>
      <c r="T180" s="57">
        <f>ROUND(L179*I180,0)</f>
        <v>1817782</v>
      </c>
      <c r="U180" s="18"/>
    </row>
    <row r="181" spans="1:21">
      <c r="P181" s="13"/>
      <c r="Q181" s="13"/>
      <c r="R181" s="13"/>
      <c r="S181" s="13"/>
      <c r="T181" s="13"/>
    </row>
    <row r="182" spans="1:21">
      <c r="P182" s="3" t="s">
        <v>141</v>
      </c>
      <c r="Q182" s="3"/>
      <c r="R182" s="90" t="s">
        <v>0</v>
      </c>
      <c r="S182" s="58" t="s">
        <v>11</v>
      </c>
      <c r="T182" s="28">
        <f>SUM(T150:T180)</f>
        <v>40816928</v>
      </c>
    </row>
    <row r="185" spans="1:21">
      <c r="P185" s="3" t="s">
        <v>140</v>
      </c>
      <c r="Q185" s="3"/>
      <c r="R185" s="90" t="s">
        <v>0</v>
      </c>
      <c r="S185" s="58" t="s">
        <v>11</v>
      </c>
      <c r="T185" s="28">
        <f>$T$182</f>
        <v>40816928</v>
      </c>
    </row>
    <row r="186" spans="1:21">
      <c r="A186" s="95">
        <v>1.3</v>
      </c>
      <c r="B186" s="926" t="s">
        <v>122</v>
      </c>
      <c r="C186" s="926"/>
      <c r="D186" s="926"/>
      <c r="E186" s="926"/>
      <c r="F186" s="926"/>
      <c r="G186" s="926"/>
      <c r="H186" s="926"/>
      <c r="I186" s="926"/>
      <c r="J186" s="926"/>
      <c r="K186" s="926"/>
      <c r="L186" s="926"/>
      <c r="M186" s="926"/>
      <c r="N186" s="926"/>
      <c r="O186" s="926"/>
      <c r="P186" s="926"/>
      <c r="Q186" s="926"/>
    </row>
    <row r="187" spans="1:21">
      <c r="B187" s="3" t="s">
        <v>124</v>
      </c>
    </row>
    <row r="188" spans="1:21">
      <c r="C188" s="907" t="s">
        <v>52</v>
      </c>
      <c r="D188" s="907"/>
      <c r="E188" s="907"/>
      <c r="F188" s="907"/>
      <c r="G188" s="907"/>
      <c r="H188" s="907"/>
      <c r="I188" s="907"/>
      <c r="J188" s="907"/>
      <c r="K188" s="907"/>
    </row>
    <row r="189" spans="1:21">
      <c r="C189" t="s">
        <v>53</v>
      </c>
      <c r="L189" s="17"/>
      <c r="M189" s="17"/>
      <c r="N189" s="17"/>
      <c r="O189" s="9"/>
      <c r="P189" s="10"/>
      <c r="T189" s="11"/>
    </row>
    <row r="190" spans="1:21" ht="14.25">
      <c r="C190" t="s">
        <v>136</v>
      </c>
      <c r="F190" s="22"/>
      <c r="I190" s="24"/>
      <c r="J190" s="24"/>
      <c r="K190" s="47"/>
      <c r="L190" s="17"/>
      <c r="M190" s="986">
        <f>$P$173</f>
        <v>27857.399999999994</v>
      </c>
      <c r="N190" s="986"/>
      <c r="O190" s="986"/>
      <c r="P190" s="64" t="s">
        <v>7</v>
      </c>
      <c r="Q190" s="18"/>
      <c r="R190" s="18"/>
      <c r="S190" s="25"/>
      <c r="T190" s="57"/>
    </row>
    <row r="191" spans="1:21" ht="14.25">
      <c r="C191" t="s">
        <v>62</v>
      </c>
      <c r="F191" s="22"/>
      <c r="I191" s="24"/>
      <c r="J191" s="24"/>
      <c r="K191" s="47"/>
      <c r="L191" s="17"/>
      <c r="M191" s="60"/>
      <c r="N191" s="17"/>
      <c r="O191" s="17"/>
      <c r="P191" s="64"/>
      <c r="Q191" s="18"/>
      <c r="R191" s="18"/>
      <c r="S191" s="25"/>
      <c r="T191" s="57"/>
    </row>
    <row r="192" spans="1:21">
      <c r="C192" s="1" t="s">
        <v>0</v>
      </c>
      <c r="D192" s="891">
        <f>$P$173</f>
        <v>27857.399999999994</v>
      </c>
      <c r="E192" s="891"/>
      <c r="F192" s="891"/>
      <c r="G192" t="s">
        <v>1</v>
      </c>
      <c r="H192" s="7">
        <v>2.4</v>
      </c>
      <c r="I192" t="s">
        <v>1</v>
      </c>
      <c r="J192" s="36">
        <v>10</v>
      </c>
      <c r="K192" s="1" t="s">
        <v>0</v>
      </c>
      <c r="L192" s="891">
        <f>D192*H192*J192</f>
        <v>668577.59999999986</v>
      </c>
      <c r="M192" s="891"/>
      <c r="N192" s="891"/>
      <c r="O192" s="65" t="s">
        <v>58</v>
      </c>
      <c r="Q192" s="58"/>
      <c r="R192" s="50"/>
      <c r="S192" s="49"/>
      <c r="T192" s="26"/>
    </row>
    <row r="193" spans="2:20">
      <c r="J193" s="886" t="s">
        <v>9</v>
      </c>
      <c r="K193" s="886"/>
      <c r="L193" s="891">
        <v>3</v>
      </c>
      <c r="M193" s="891"/>
      <c r="N193" s="9" t="s">
        <v>59</v>
      </c>
      <c r="O193" s="10"/>
      <c r="P193" s="2"/>
      <c r="R193" s="29" t="s">
        <v>0</v>
      </c>
      <c r="S193" s="16" t="s">
        <v>11</v>
      </c>
      <c r="T193" s="66">
        <f>ROUND(L192*L193,0)</f>
        <v>2005733</v>
      </c>
    </row>
    <row r="194" spans="2:20">
      <c r="L194" s="17"/>
      <c r="M194" s="17"/>
      <c r="N194" s="17"/>
      <c r="O194" s="9"/>
      <c r="P194" s="49"/>
      <c r="Q194" s="49"/>
      <c r="R194" s="50"/>
      <c r="S194" s="49"/>
      <c r="T194" s="26"/>
    </row>
    <row r="195" spans="2:20">
      <c r="C195" t="s">
        <v>60</v>
      </c>
      <c r="L195" s="17"/>
      <c r="M195" s="17"/>
      <c r="N195" s="17"/>
      <c r="O195" s="9"/>
      <c r="P195" s="49"/>
      <c r="Q195" s="49"/>
      <c r="R195" s="50"/>
      <c r="S195" s="49"/>
      <c r="T195" s="26"/>
    </row>
    <row r="196" spans="2:20">
      <c r="C196" s="1" t="s">
        <v>0</v>
      </c>
      <c r="D196" s="891">
        <f>$P$173</f>
        <v>27857.399999999994</v>
      </c>
      <c r="E196" s="891"/>
      <c r="F196" s="891"/>
      <c r="G196" t="s">
        <v>1</v>
      </c>
      <c r="H196" s="7">
        <v>2.4</v>
      </c>
      <c r="I196" t="s">
        <v>1</v>
      </c>
      <c r="J196" s="36">
        <v>1</v>
      </c>
      <c r="K196" s="1" t="s">
        <v>0</v>
      </c>
      <c r="L196" s="891">
        <f>D196*H196*J196</f>
        <v>66857.75999999998</v>
      </c>
      <c r="M196" s="891"/>
      <c r="N196" s="891"/>
      <c r="O196" s="65" t="s">
        <v>58</v>
      </c>
      <c r="Q196" s="58"/>
      <c r="R196" s="50"/>
      <c r="S196" s="49"/>
      <c r="T196" s="26"/>
    </row>
    <row r="197" spans="2:20">
      <c r="J197" s="886" t="s">
        <v>9</v>
      </c>
      <c r="K197" s="886"/>
      <c r="L197" s="891">
        <v>4.3</v>
      </c>
      <c r="M197" s="891"/>
      <c r="N197" s="9" t="s">
        <v>59</v>
      </c>
      <c r="O197" s="10"/>
      <c r="P197" s="2"/>
      <c r="R197" s="29" t="s">
        <v>0</v>
      </c>
      <c r="S197" s="16" t="s">
        <v>11</v>
      </c>
      <c r="T197" s="66">
        <f>ROUND(L196*L197,0)</f>
        <v>287488</v>
      </c>
    </row>
    <row r="198" spans="2:20">
      <c r="R198" s="16"/>
      <c r="S198" s="16"/>
    </row>
    <row r="199" spans="2:20">
      <c r="B199" s="3" t="s">
        <v>123</v>
      </c>
      <c r="R199" s="16"/>
      <c r="S199" s="16"/>
    </row>
    <row r="200" spans="2:20">
      <c r="C200" s="890" t="s">
        <v>54</v>
      </c>
      <c r="D200" s="890"/>
      <c r="E200" s="890"/>
      <c r="F200" s="890"/>
      <c r="G200" s="890"/>
      <c r="H200" s="890"/>
      <c r="I200" s="890"/>
      <c r="J200" s="890"/>
      <c r="K200" s="890"/>
      <c r="R200" s="16"/>
      <c r="S200" s="16"/>
    </row>
    <row r="201" spans="2:20">
      <c r="C201" t="s">
        <v>55</v>
      </c>
      <c r="R201" s="16"/>
      <c r="S201" s="16"/>
    </row>
    <row r="202" spans="2:20" ht="14.25">
      <c r="C202" t="s">
        <v>137</v>
      </c>
      <c r="F202" s="22"/>
      <c r="I202" s="24"/>
      <c r="J202" s="24"/>
      <c r="K202" s="47"/>
      <c r="L202" s="17"/>
      <c r="M202" s="986">
        <f>$P$178</f>
        <v>6440.3793999999989</v>
      </c>
      <c r="N202" s="986"/>
      <c r="O202" s="986"/>
      <c r="P202" s="64" t="s">
        <v>7</v>
      </c>
      <c r="Q202" s="18"/>
      <c r="R202" s="18"/>
      <c r="S202" s="25"/>
      <c r="T202" s="57"/>
    </row>
    <row r="203" spans="2:20" ht="14.25">
      <c r="C203" t="s">
        <v>63</v>
      </c>
      <c r="F203" s="22"/>
      <c r="I203" s="24"/>
      <c r="J203" s="24"/>
      <c r="K203" s="47"/>
      <c r="L203" s="17"/>
      <c r="M203" s="60"/>
      <c r="N203" s="17"/>
      <c r="O203" s="17"/>
      <c r="P203" s="64"/>
      <c r="Q203" s="18"/>
      <c r="R203" s="18"/>
      <c r="S203" s="25"/>
      <c r="T203" s="57"/>
    </row>
    <row r="204" spans="2:20">
      <c r="C204" s="1" t="s">
        <v>0</v>
      </c>
      <c r="D204" s="891">
        <f>$P$178</f>
        <v>6440.3793999999989</v>
      </c>
      <c r="E204" s="891"/>
      <c r="F204" s="891"/>
      <c r="G204" t="s">
        <v>1</v>
      </c>
      <c r="H204" s="7">
        <v>1.84</v>
      </c>
      <c r="I204" t="s">
        <v>1</v>
      </c>
      <c r="J204" s="36">
        <v>14</v>
      </c>
      <c r="K204" s="1" t="s">
        <v>0</v>
      </c>
      <c r="L204" s="891">
        <f>D204*H204*J204</f>
        <v>165904.17334399998</v>
      </c>
      <c r="M204" s="891"/>
      <c r="N204" s="891"/>
      <c r="O204" s="65" t="s">
        <v>58</v>
      </c>
      <c r="Q204" s="58"/>
      <c r="R204" s="50"/>
      <c r="S204" s="49"/>
      <c r="T204" s="26"/>
    </row>
    <row r="205" spans="2:20">
      <c r="J205" s="886" t="s">
        <v>9</v>
      </c>
      <c r="K205" s="886"/>
      <c r="L205" s="891">
        <v>3</v>
      </c>
      <c r="M205" s="891"/>
      <c r="N205" s="9" t="s">
        <v>59</v>
      </c>
      <c r="O205" s="10"/>
      <c r="P205" s="2"/>
      <c r="R205" s="29" t="s">
        <v>0</v>
      </c>
      <c r="S205" s="16" t="s">
        <v>11</v>
      </c>
      <c r="T205" s="66">
        <f>ROUND(L204*L205,0)</f>
        <v>497713</v>
      </c>
    </row>
    <row r="206" spans="2:20">
      <c r="L206" s="17"/>
      <c r="M206" s="17"/>
      <c r="N206" s="17"/>
      <c r="O206" s="9"/>
      <c r="P206" s="49"/>
      <c r="Q206" s="49"/>
      <c r="R206" s="50"/>
      <c r="S206" s="49"/>
      <c r="T206" s="26"/>
    </row>
    <row r="207" spans="2:20">
      <c r="C207" t="s">
        <v>60</v>
      </c>
      <c r="L207" s="17"/>
      <c r="M207" s="17"/>
      <c r="N207" s="17"/>
      <c r="O207" s="9"/>
      <c r="P207" s="49"/>
      <c r="Q207" s="49"/>
      <c r="R207" s="50"/>
      <c r="S207" s="49"/>
      <c r="T207" s="26"/>
    </row>
    <row r="208" spans="2:20">
      <c r="C208" s="1" t="s">
        <v>0</v>
      </c>
      <c r="D208" s="891">
        <f>$P$178</f>
        <v>6440.3793999999989</v>
      </c>
      <c r="E208" s="891"/>
      <c r="F208" s="891"/>
      <c r="G208" t="s">
        <v>1</v>
      </c>
      <c r="H208" s="7">
        <v>1.84</v>
      </c>
      <c r="I208" t="s">
        <v>1</v>
      </c>
      <c r="J208" s="36">
        <v>1</v>
      </c>
      <c r="K208" s="1" t="s">
        <v>0</v>
      </c>
      <c r="L208" s="891">
        <f>D208*H208*J208</f>
        <v>11850.298095999999</v>
      </c>
      <c r="M208" s="891"/>
      <c r="N208" s="891"/>
      <c r="O208" s="65" t="s">
        <v>58</v>
      </c>
      <c r="Q208" s="58"/>
      <c r="R208" s="50"/>
      <c r="S208" s="49"/>
      <c r="T208" s="26"/>
    </row>
    <row r="209" spans="1:20">
      <c r="J209" s="886" t="s">
        <v>9</v>
      </c>
      <c r="K209" s="886"/>
      <c r="L209" s="891">
        <v>4.3</v>
      </c>
      <c r="M209" s="891"/>
      <c r="N209" s="9" t="s">
        <v>59</v>
      </c>
      <c r="O209" s="10"/>
      <c r="P209" s="2"/>
      <c r="R209" s="29" t="s">
        <v>0</v>
      </c>
      <c r="S209" s="16" t="s">
        <v>11</v>
      </c>
      <c r="T209" s="66">
        <f>ROUND(L208*L209,0)</f>
        <v>50956</v>
      </c>
    </row>
    <row r="212" spans="1:20">
      <c r="A212" s="29" t="s">
        <v>69</v>
      </c>
      <c r="B212" t="s">
        <v>71</v>
      </c>
      <c r="F212" s="17"/>
      <c r="G212" s="16"/>
      <c r="I212" s="48"/>
      <c r="J212" s="2"/>
      <c r="L212" s="34"/>
      <c r="M212" s="33"/>
      <c r="N212" s="18"/>
      <c r="O212" s="18"/>
      <c r="P212" s="18"/>
      <c r="Q212" s="18"/>
      <c r="R212" s="18"/>
      <c r="S212" s="25"/>
      <c r="T212" s="57"/>
    </row>
    <row r="213" spans="1:20" ht="14.25">
      <c r="B213" t="s">
        <v>138</v>
      </c>
      <c r="F213" s="17"/>
      <c r="G213" s="16"/>
      <c r="I213" s="987">
        <f>$P$173</f>
        <v>27857.399999999994</v>
      </c>
      <c r="J213" s="988"/>
      <c r="K213" s="988"/>
      <c r="L213" s="34" t="s">
        <v>7</v>
      </c>
      <c r="M213" s="33"/>
      <c r="N213" s="18"/>
      <c r="O213" s="18"/>
      <c r="P213" s="18"/>
      <c r="Q213" s="18"/>
      <c r="R213" s="18"/>
      <c r="S213" s="25"/>
      <c r="T213" s="57"/>
    </row>
    <row r="214" spans="1:20" ht="14.25">
      <c r="F214" s="886" t="s">
        <v>9</v>
      </c>
      <c r="G214" s="886"/>
      <c r="H214" s="910">
        <v>98.68</v>
      </c>
      <c r="I214" s="910"/>
      <c r="J214" s="67" t="s">
        <v>73</v>
      </c>
      <c r="L214" s="34"/>
      <c r="M214" s="33"/>
      <c r="N214" s="18"/>
      <c r="O214" s="18"/>
      <c r="P214" s="18"/>
      <c r="Q214" s="18"/>
      <c r="R214" s="29" t="s">
        <v>0</v>
      </c>
      <c r="S214" s="25" t="s">
        <v>11</v>
      </c>
      <c r="T214" s="57">
        <f>ROUND(I213*H214,0)</f>
        <v>2748968</v>
      </c>
    </row>
    <row r="215" spans="1:20">
      <c r="F215" s="17"/>
      <c r="G215" s="16"/>
      <c r="I215" s="48"/>
      <c r="J215" s="2"/>
      <c r="L215" s="34"/>
      <c r="M215" s="33"/>
      <c r="N215" s="18"/>
      <c r="O215" s="18"/>
      <c r="P215" s="18"/>
      <c r="Q215" s="18"/>
      <c r="R215" s="18"/>
      <c r="S215" s="25"/>
      <c r="T215" s="57"/>
    </row>
    <row r="216" spans="1:20" ht="14.25">
      <c r="B216" t="s">
        <v>139</v>
      </c>
      <c r="F216" s="17"/>
      <c r="G216" s="16"/>
      <c r="I216" s="987">
        <f>$P$178</f>
        <v>6440.3793999999989</v>
      </c>
      <c r="J216" s="987"/>
      <c r="K216" s="987"/>
      <c r="L216" s="34" t="s">
        <v>7</v>
      </c>
      <c r="M216" s="33"/>
      <c r="N216" s="18"/>
      <c r="O216" s="18"/>
      <c r="P216" s="18"/>
      <c r="Q216" s="18"/>
      <c r="R216" s="18"/>
      <c r="S216" s="25"/>
      <c r="T216" s="57"/>
    </row>
    <row r="217" spans="1:20" ht="14.25">
      <c r="F217" s="886" t="s">
        <v>9</v>
      </c>
      <c r="G217" s="886"/>
      <c r="H217" s="910">
        <v>36.72</v>
      </c>
      <c r="I217" s="910"/>
      <c r="J217" s="67" t="s">
        <v>73</v>
      </c>
      <c r="L217" s="34"/>
      <c r="M217" s="33"/>
      <c r="N217" s="18"/>
      <c r="O217" s="18"/>
      <c r="P217" s="18"/>
      <c r="Q217" s="18"/>
      <c r="R217" s="35" t="s">
        <v>0</v>
      </c>
      <c r="S217" s="25" t="s">
        <v>11</v>
      </c>
      <c r="T217" s="57">
        <f>ROUND(I216*H217,0)</f>
        <v>236491</v>
      </c>
    </row>
    <row r="218" spans="1:20">
      <c r="F218" s="8"/>
      <c r="G218" s="8"/>
      <c r="H218" s="16"/>
      <c r="I218" s="16"/>
      <c r="J218" s="67"/>
      <c r="L218" s="34"/>
      <c r="M218" s="33"/>
      <c r="N218" s="18"/>
      <c r="O218" s="18"/>
      <c r="P218" s="13"/>
      <c r="Q218" s="13"/>
      <c r="R218" s="32"/>
      <c r="S218" s="23"/>
      <c r="T218" s="27"/>
    </row>
    <row r="219" spans="1:20">
      <c r="P219" s="3" t="s">
        <v>125</v>
      </c>
      <c r="Q219" s="3"/>
      <c r="R219" s="50" t="s">
        <v>0</v>
      </c>
      <c r="S219" s="58" t="s">
        <v>11</v>
      </c>
      <c r="T219" s="28">
        <f>SUM(T185:T217)</f>
        <v>46644277</v>
      </c>
    </row>
    <row r="234" spans="2:20">
      <c r="B234" t="s">
        <v>229</v>
      </c>
      <c r="O234" t="s">
        <v>226</v>
      </c>
    </row>
    <row r="235" spans="2:20">
      <c r="B235" t="s">
        <v>230</v>
      </c>
      <c r="O235" t="s">
        <v>227</v>
      </c>
    </row>
    <row r="236" spans="2:20">
      <c r="B236" t="s">
        <v>231</v>
      </c>
      <c r="O236" t="s">
        <v>228</v>
      </c>
    </row>
    <row r="238" spans="2:20">
      <c r="P238" s="3" t="s">
        <v>264</v>
      </c>
    </row>
    <row r="239" spans="2:20" ht="32.25" customHeight="1">
      <c r="B239" s="975" t="s">
        <v>142</v>
      </c>
      <c r="C239" s="978"/>
      <c r="D239" s="978"/>
      <c r="E239" s="978"/>
      <c r="F239" s="978"/>
      <c r="G239" s="978"/>
      <c r="H239" s="978"/>
      <c r="I239" s="978"/>
      <c r="J239" s="978"/>
      <c r="K239" s="978"/>
      <c r="L239" s="978"/>
      <c r="M239" s="978"/>
      <c r="N239" s="978"/>
      <c r="O239" s="978"/>
      <c r="P239" s="978"/>
      <c r="Q239" s="978"/>
      <c r="R239" s="978"/>
      <c r="S239" s="978"/>
      <c r="T239" s="59"/>
    </row>
    <row r="240" spans="2:20" ht="10.5" customHeight="1">
      <c r="B240" s="93"/>
      <c r="C240" s="88"/>
      <c r="D240" s="88"/>
      <c r="E240" s="88"/>
      <c r="F240" s="88"/>
      <c r="G240" s="88"/>
      <c r="H240" s="88"/>
      <c r="I240" s="88"/>
      <c r="J240" s="88"/>
      <c r="K240" s="88"/>
      <c r="L240" s="88"/>
      <c r="M240" s="88"/>
      <c r="N240" s="88"/>
      <c r="O240" s="88"/>
      <c r="P240" s="88"/>
      <c r="Q240" s="88"/>
      <c r="R240" s="88"/>
      <c r="S240" s="88"/>
      <c r="T240" s="59"/>
    </row>
    <row r="241" spans="1:20" ht="41.25" customHeight="1">
      <c r="B241" s="975" t="s">
        <v>256</v>
      </c>
      <c r="C241" s="975"/>
      <c r="D241" s="975"/>
      <c r="E241" s="975"/>
      <c r="F241" s="975"/>
      <c r="G241" s="975"/>
      <c r="H241" s="975"/>
      <c r="I241" s="975"/>
      <c r="J241" s="975"/>
      <c r="K241" s="975"/>
      <c r="L241" s="975"/>
      <c r="M241" s="975"/>
      <c r="N241" s="975"/>
      <c r="O241" s="975"/>
      <c r="P241" s="975"/>
      <c r="Q241" s="975"/>
      <c r="R241" s="975"/>
      <c r="S241" s="975"/>
      <c r="T241" s="59"/>
    </row>
    <row r="242" spans="1:20" ht="12.75" customHeight="1">
      <c r="B242" s="93"/>
      <c r="C242" s="88"/>
      <c r="D242" s="88"/>
      <c r="E242" s="88"/>
      <c r="F242" s="88"/>
      <c r="G242" s="88"/>
      <c r="H242" s="88"/>
      <c r="I242" s="88"/>
      <c r="J242" s="88"/>
      <c r="K242" s="88"/>
      <c r="L242" s="88"/>
      <c r="M242" s="88"/>
      <c r="N242" s="88"/>
      <c r="O242" s="88"/>
      <c r="P242" s="88"/>
      <c r="Q242" s="88"/>
      <c r="R242" s="88"/>
      <c r="S242" s="88"/>
      <c r="T242" s="59"/>
    </row>
    <row r="243" spans="1:20">
      <c r="A243" s="972" t="s">
        <v>143</v>
      </c>
      <c r="B243" s="973" t="s">
        <v>144</v>
      </c>
      <c r="C243" s="974"/>
      <c r="D243" s="974"/>
      <c r="E243" s="974"/>
      <c r="F243" s="974"/>
      <c r="G243" s="974"/>
      <c r="H243" s="974"/>
      <c r="I243" s="974"/>
      <c r="J243" s="974"/>
      <c r="K243" s="974"/>
      <c r="L243" s="974"/>
      <c r="M243" s="974"/>
      <c r="N243" s="974"/>
      <c r="O243" s="974"/>
      <c r="P243" s="974"/>
      <c r="Q243" s="974"/>
      <c r="R243" s="59"/>
      <c r="S243" s="59"/>
      <c r="T243" s="59"/>
    </row>
    <row r="244" spans="1:20" ht="60" customHeight="1">
      <c r="A244" s="972"/>
      <c r="B244" s="936" t="s">
        <v>145</v>
      </c>
      <c r="C244" s="936"/>
      <c r="D244" s="936"/>
      <c r="E244" s="936"/>
      <c r="F244" s="936"/>
      <c r="G244" s="936"/>
      <c r="H244" s="936"/>
      <c r="I244" s="936"/>
      <c r="J244" s="936"/>
      <c r="K244" s="936"/>
      <c r="L244" s="936"/>
      <c r="M244" s="936"/>
      <c r="N244" s="936"/>
      <c r="O244" s="936"/>
      <c r="P244" s="936"/>
      <c r="Q244" s="936"/>
    </row>
    <row r="245" spans="1:20">
      <c r="A245" s="52"/>
      <c r="B245" s="908" t="s">
        <v>153</v>
      </c>
      <c r="C245" s="908"/>
      <c r="D245" s="908"/>
      <c r="E245" s="908"/>
      <c r="F245" s="908"/>
      <c r="G245" s="908"/>
      <c r="H245" s="908"/>
      <c r="I245" s="908"/>
      <c r="J245" s="908"/>
      <c r="K245" s="908"/>
      <c r="L245" s="908"/>
      <c r="M245" s="908"/>
      <c r="N245" s="908"/>
      <c r="O245" s="908"/>
      <c r="P245" s="908"/>
      <c r="Q245" s="908"/>
    </row>
    <row r="246" spans="1:20" ht="12.75" customHeight="1">
      <c r="A246" s="42"/>
      <c r="B246" s="908" t="s">
        <v>248</v>
      </c>
      <c r="C246" s="908"/>
      <c r="D246" s="908"/>
      <c r="E246" s="908"/>
      <c r="F246" s="908"/>
      <c r="G246" s="976">
        <v>742.5</v>
      </c>
      <c r="H246" s="976"/>
      <c r="I246" s="908" t="s">
        <v>249</v>
      </c>
      <c r="J246" s="908"/>
      <c r="K246" s="908"/>
      <c r="L246" s="908"/>
      <c r="M246" s="908"/>
      <c r="N246" s="908"/>
      <c r="O246" s="908"/>
      <c r="P246" s="908"/>
      <c r="Q246" s="92"/>
    </row>
    <row r="247" spans="1:20" ht="12.75" customHeight="1">
      <c r="A247" s="42"/>
      <c r="B247" s="908" t="s">
        <v>214</v>
      </c>
      <c r="C247" s="908"/>
      <c r="D247" s="908"/>
      <c r="E247" s="908"/>
      <c r="F247" s="908"/>
      <c r="G247" s="976">
        <f>$G$246</f>
        <v>742.5</v>
      </c>
      <c r="H247" s="976"/>
      <c r="I247" s="92" t="s">
        <v>1</v>
      </c>
      <c r="J247" s="976">
        <v>1.8</v>
      </c>
      <c r="K247" s="976"/>
      <c r="L247" s="95" t="s">
        <v>0</v>
      </c>
      <c r="M247" s="888">
        <f>G247*J247</f>
        <v>1336.5</v>
      </c>
      <c r="N247" s="888"/>
      <c r="O247" s="977" t="s">
        <v>16</v>
      </c>
      <c r="P247" s="977"/>
      <c r="Q247" s="92"/>
    </row>
    <row r="248" spans="1:20" ht="14.25">
      <c r="A248" s="18"/>
      <c r="B248" s="61" t="s">
        <v>215</v>
      </c>
      <c r="C248" s="35"/>
      <c r="D248" s="33"/>
      <c r="E248" s="33"/>
      <c r="F248" s="34"/>
      <c r="G248" s="53"/>
      <c r="H248" s="95" t="s">
        <v>0</v>
      </c>
      <c r="I248" s="922">
        <f>M247*0.1</f>
        <v>133.65</v>
      </c>
      <c r="J248" s="922"/>
      <c r="K248" s="922"/>
      <c r="L248" s="64" t="s">
        <v>7</v>
      </c>
      <c r="M248" s="33"/>
      <c r="N248" s="33"/>
      <c r="O248" s="35"/>
      <c r="P248" s="19"/>
      <c r="Q248" s="18"/>
      <c r="R248" s="18"/>
      <c r="S248" s="18"/>
      <c r="T248" s="18"/>
    </row>
    <row r="249" spans="1:20" ht="14.25">
      <c r="B249" s="43"/>
      <c r="C249" s="1"/>
      <c r="F249" s="8" t="s">
        <v>9</v>
      </c>
      <c r="G249" s="891">
        <v>540</v>
      </c>
      <c r="H249" s="891"/>
      <c r="I249" s="906" t="s">
        <v>10</v>
      </c>
      <c r="J249" s="907"/>
      <c r="R249" s="29" t="s">
        <v>0</v>
      </c>
      <c r="S249" s="16" t="s">
        <v>11</v>
      </c>
      <c r="T249" s="11">
        <f>ROUND(M247*G249,0)</f>
        <v>721710</v>
      </c>
    </row>
    <row r="253" spans="1:20" ht="85.5" customHeight="1">
      <c r="A253" s="54" t="s">
        <v>156</v>
      </c>
      <c r="B253" s="936" t="s">
        <v>146</v>
      </c>
      <c r="C253" s="936"/>
      <c r="D253" s="936"/>
      <c r="E253" s="936"/>
      <c r="F253" s="936"/>
      <c r="G253" s="936"/>
      <c r="H253" s="936"/>
      <c r="I253" s="936"/>
      <c r="J253" s="936"/>
      <c r="K253" s="936"/>
      <c r="L253" s="936"/>
      <c r="M253" s="936"/>
      <c r="N253" s="936"/>
      <c r="O253" s="936"/>
      <c r="P253" s="936"/>
      <c r="Q253" s="936"/>
    </row>
    <row r="254" spans="1:20" ht="12.75" customHeight="1">
      <c r="A254" s="54"/>
      <c r="B254" s="926" t="s">
        <v>147</v>
      </c>
      <c r="C254" s="926"/>
      <c r="D254" s="926"/>
      <c r="E254" s="926"/>
      <c r="F254" s="926"/>
      <c r="G254" s="926"/>
      <c r="H254" s="926"/>
      <c r="I254" s="91"/>
      <c r="J254" s="91"/>
      <c r="K254" s="91"/>
      <c r="L254" s="91"/>
      <c r="M254" s="91"/>
      <c r="N254" s="91"/>
      <c r="O254" s="91"/>
      <c r="P254" s="91"/>
      <c r="Q254" s="91"/>
    </row>
    <row r="255" spans="1:20" ht="12.75" customHeight="1">
      <c r="A255" s="54"/>
      <c r="B255" s="98" t="s">
        <v>157</v>
      </c>
      <c r="C255" s="94"/>
      <c r="D255" s="94"/>
      <c r="E255" s="94"/>
      <c r="F255" s="94"/>
      <c r="G255" s="94"/>
      <c r="H255" s="94"/>
      <c r="I255" s="94"/>
      <c r="J255" s="94"/>
      <c r="K255" s="94"/>
      <c r="L255" s="94"/>
      <c r="M255" s="94"/>
      <c r="N255" s="94"/>
      <c r="O255" s="94"/>
      <c r="P255" s="94"/>
      <c r="Q255" s="94"/>
    </row>
    <row r="256" spans="1:20" ht="14.25">
      <c r="A256" s="18"/>
      <c r="B256" s="61" t="s">
        <v>216</v>
      </c>
      <c r="C256" s="35"/>
      <c r="D256" s="33"/>
      <c r="E256" s="33"/>
      <c r="F256" s="34"/>
      <c r="G256" s="33"/>
      <c r="H256" s="34"/>
      <c r="I256" s="1" t="s">
        <v>0</v>
      </c>
      <c r="J256" s="911">
        <f>$M$247</f>
        <v>1336.5</v>
      </c>
      <c r="K256" s="911"/>
      <c r="L256" s="64" t="s">
        <v>16</v>
      </c>
      <c r="M256" s="33"/>
      <c r="N256" s="33"/>
      <c r="O256" s="35"/>
      <c r="P256" s="19"/>
      <c r="Q256" s="18"/>
      <c r="R256" s="18"/>
      <c r="S256" s="18"/>
      <c r="T256" s="18"/>
    </row>
    <row r="257" spans="1:20" ht="14.25">
      <c r="A257" s="18"/>
      <c r="B257" s="61" t="s">
        <v>217</v>
      </c>
      <c r="C257" s="33">
        <v>2</v>
      </c>
      <c r="D257" s="33" t="s">
        <v>1</v>
      </c>
      <c r="E257" s="911">
        <f>$J$256</f>
        <v>1336.5</v>
      </c>
      <c r="F257" s="911"/>
      <c r="G257" s="911"/>
      <c r="H257" s="34" t="s">
        <v>1</v>
      </c>
      <c r="I257" s="967">
        <v>9.0999999999999998E-2</v>
      </c>
      <c r="J257" s="967"/>
      <c r="K257" s="35" t="s">
        <v>0</v>
      </c>
      <c r="L257" s="968">
        <f>C257*E257*I257</f>
        <v>243.24299999999999</v>
      </c>
      <c r="M257" s="968"/>
      <c r="N257" s="64" t="s">
        <v>7</v>
      </c>
      <c r="O257" s="35"/>
      <c r="P257" s="19"/>
      <c r="Q257" s="18"/>
      <c r="R257" s="18"/>
      <c r="S257" s="18"/>
      <c r="T257" s="18"/>
    </row>
    <row r="258" spans="1:20" ht="14.25">
      <c r="B258" s="43"/>
      <c r="C258" s="1"/>
      <c r="F258" s="8" t="s">
        <v>9</v>
      </c>
      <c r="G258" s="891">
        <v>628</v>
      </c>
      <c r="H258" s="891"/>
      <c r="I258" s="906" t="s">
        <v>10</v>
      </c>
      <c r="J258" s="907"/>
      <c r="R258" s="29" t="s">
        <v>0</v>
      </c>
      <c r="S258" s="16" t="s">
        <v>11</v>
      </c>
      <c r="T258" s="11">
        <f>ROUND(L257*G258,0)</f>
        <v>152757</v>
      </c>
    </row>
    <row r="259" spans="1:20">
      <c r="B259" s="43"/>
      <c r="C259" s="1"/>
      <c r="F259" s="8"/>
      <c r="G259" s="17"/>
      <c r="H259" s="17"/>
      <c r="I259" s="9"/>
      <c r="J259" s="10"/>
      <c r="R259" s="29"/>
      <c r="S259" s="16"/>
      <c r="T259" s="11"/>
    </row>
    <row r="260" spans="1:20">
      <c r="B260" s="43"/>
      <c r="C260" s="1"/>
      <c r="F260" s="8"/>
      <c r="G260" s="17"/>
      <c r="H260" s="17"/>
      <c r="I260" s="9"/>
      <c r="J260" s="10"/>
      <c r="R260" s="29"/>
      <c r="S260" s="16"/>
      <c r="T260" s="11"/>
    </row>
    <row r="262" spans="1:20" ht="28.5" customHeight="1">
      <c r="A262" s="98" t="s">
        <v>220</v>
      </c>
      <c r="B262" s="924" t="s">
        <v>211</v>
      </c>
      <c r="C262" s="924"/>
      <c r="D262" s="924"/>
      <c r="E262" s="924"/>
      <c r="F262" s="924"/>
      <c r="G262" s="924"/>
      <c r="H262" s="924"/>
      <c r="I262" s="924"/>
      <c r="J262" s="924"/>
      <c r="K262" s="924"/>
      <c r="L262" s="924"/>
      <c r="M262" s="924"/>
      <c r="N262" s="924"/>
      <c r="O262" s="924"/>
      <c r="P262" s="924"/>
      <c r="Q262" s="924"/>
    </row>
    <row r="263" spans="1:20">
      <c r="A263" s="16">
        <v>1.2</v>
      </c>
      <c r="B263" s="61" t="s">
        <v>42</v>
      </c>
      <c r="C263" s="61"/>
      <c r="D263" s="61"/>
      <c r="E263" s="61"/>
      <c r="F263" s="61"/>
      <c r="G263" s="61"/>
      <c r="H263" s="61"/>
      <c r="I263" s="61"/>
      <c r="J263" s="61"/>
      <c r="K263" s="62"/>
      <c r="L263" s="62"/>
      <c r="M263" s="62"/>
      <c r="N263" s="62"/>
      <c r="O263" s="51"/>
      <c r="P263" s="18"/>
    </row>
    <row r="264" spans="1:20">
      <c r="B264" s="3" t="s">
        <v>195</v>
      </c>
    </row>
    <row r="265" spans="1:20" ht="14.25">
      <c r="B265" t="s">
        <v>213</v>
      </c>
      <c r="L265" s="29" t="s">
        <v>0</v>
      </c>
      <c r="M265" s="885">
        <f>I248*0.5</f>
        <v>66.825000000000003</v>
      </c>
      <c r="N265" s="885"/>
      <c r="O265" s="885"/>
      <c r="P265" t="s">
        <v>7</v>
      </c>
    </row>
    <row r="266" spans="1:20" ht="14.25">
      <c r="B266" s="98" t="s">
        <v>189</v>
      </c>
      <c r="C266" s="94"/>
      <c r="D266" s="94"/>
      <c r="E266" s="94"/>
      <c r="F266" s="94"/>
      <c r="G266" s="94"/>
      <c r="H266" s="94"/>
      <c r="I266" s="94"/>
      <c r="J266" s="94"/>
      <c r="L266" s="29" t="s">
        <v>0</v>
      </c>
      <c r="M266" s="969">
        <f>$L$257</f>
        <v>243.24299999999999</v>
      </c>
      <c r="N266" s="969"/>
      <c r="O266" s="969"/>
      <c r="P266" t="s">
        <v>7</v>
      </c>
    </row>
    <row r="267" spans="1:20">
      <c r="B267" s="98"/>
      <c r="C267" s="94"/>
      <c r="D267" s="94"/>
      <c r="E267" s="94"/>
      <c r="F267" s="94"/>
      <c r="G267" s="94"/>
      <c r="H267" s="94"/>
      <c r="I267" s="94"/>
      <c r="J267" s="94"/>
      <c r="L267" s="29"/>
      <c r="M267" s="2"/>
      <c r="N267" s="2"/>
      <c r="O267" s="2"/>
    </row>
    <row r="268" spans="1:20">
      <c r="B268" s="3" t="s">
        <v>196</v>
      </c>
    </row>
    <row r="269" spans="1:20" ht="14.25">
      <c r="B269" t="s">
        <v>213</v>
      </c>
      <c r="L269" s="29" t="s">
        <v>0</v>
      </c>
      <c r="M269" s="885">
        <f>I248*0.5</f>
        <v>66.825000000000003</v>
      </c>
      <c r="N269" s="885"/>
      <c r="O269" s="885"/>
      <c r="P269" t="s">
        <v>7</v>
      </c>
    </row>
    <row r="270" spans="1:20" ht="14.25">
      <c r="B270" t="s">
        <v>192</v>
      </c>
      <c r="J270" s="13"/>
      <c r="K270" s="13"/>
      <c r="L270" s="32" t="s">
        <v>0</v>
      </c>
      <c r="M270" s="965">
        <f>L257*0.25</f>
        <v>60.810749999999999</v>
      </c>
      <c r="N270" s="965"/>
      <c r="O270" s="965"/>
      <c r="P270" s="13" t="s">
        <v>7</v>
      </c>
    </row>
    <row r="271" spans="1:20" ht="14.25">
      <c r="J271" t="s">
        <v>194</v>
      </c>
      <c r="L271" s="29" t="s">
        <v>0</v>
      </c>
      <c r="M271" s="885">
        <f>SUM(M265:M270)</f>
        <v>437.70374999999996</v>
      </c>
      <c r="N271" s="890"/>
      <c r="O271" s="890"/>
      <c r="P271" t="s">
        <v>7</v>
      </c>
    </row>
    <row r="272" spans="1:20" ht="14.25">
      <c r="F272" s="8" t="s">
        <v>9</v>
      </c>
      <c r="G272" s="891">
        <v>53</v>
      </c>
      <c r="H272" s="891"/>
      <c r="I272" s="906" t="s">
        <v>10</v>
      </c>
      <c r="J272" s="907"/>
      <c r="R272" s="29" t="s">
        <v>0</v>
      </c>
      <c r="S272" s="16" t="s">
        <v>11</v>
      </c>
      <c r="T272" s="11">
        <f>ROUND(M271*G272,0)</f>
        <v>23198</v>
      </c>
    </row>
    <row r="273" spans="1:20">
      <c r="F273" s="8"/>
      <c r="G273" s="17"/>
      <c r="H273" s="17"/>
      <c r="I273" s="9"/>
      <c r="J273" s="10"/>
      <c r="P273" s="13"/>
      <c r="Q273" s="13"/>
      <c r="R273" s="32"/>
      <c r="S273" s="23"/>
      <c r="T273" s="27"/>
    </row>
    <row r="274" spans="1:20">
      <c r="F274" s="8"/>
      <c r="G274" s="17"/>
      <c r="H274" s="17"/>
      <c r="I274" s="9"/>
      <c r="J274" s="10"/>
      <c r="P274" s="3" t="s">
        <v>141</v>
      </c>
      <c r="Q274" s="3"/>
      <c r="R274" s="90" t="s">
        <v>0</v>
      </c>
      <c r="S274" s="58" t="s">
        <v>11</v>
      </c>
      <c r="T274" s="26">
        <f>SUM(T249:T273)</f>
        <v>897665</v>
      </c>
    </row>
    <row r="275" spans="1:20">
      <c r="F275" s="8"/>
      <c r="G275" s="17"/>
      <c r="H275" s="17"/>
      <c r="I275" s="9"/>
      <c r="J275" s="10"/>
      <c r="R275" s="29"/>
      <c r="S275" s="16"/>
      <c r="T275" s="11"/>
    </row>
    <row r="276" spans="1:20">
      <c r="F276" s="8"/>
      <c r="G276" s="17"/>
      <c r="H276" s="17"/>
      <c r="I276" s="9"/>
      <c r="J276" s="10"/>
      <c r="R276" s="29"/>
      <c r="S276" s="16"/>
      <c r="T276" s="11"/>
    </row>
    <row r="277" spans="1:20">
      <c r="P277" s="3" t="s">
        <v>140</v>
      </c>
      <c r="Q277" s="3"/>
      <c r="R277" s="90" t="s">
        <v>0</v>
      </c>
      <c r="S277" s="58" t="s">
        <v>11</v>
      </c>
      <c r="T277" s="28">
        <f>$T$274</f>
        <v>897665</v>
      </c>
    </row>
    <row r="278" spans="1:20">
      <c r="A278">
        <v>1.3</v>
      </c>
      <c r="B278" t="s">
        <v>122</v>
      </c>
    </row>
    <row r="279" spans="1:20">
      <c r="B279" s="3" t="s">
        <v>124</v>
      </c>
    </row>
    <row r="280" spans="1:20">
      <c r="C280" s="907" t="s">
        <v>52</v>
      </c>
      <c r="D280" s="907"/>
      <c r="E280" s="907"/>
      <c r="F280" s="907"/>
      <c r="G280" s="907"/>
      <c r="H280" s="907"/>
      <c r="I280" s="907"/>
      <c r="J280" s="907"/>
      <c r="K280" s="907"/>
    </row>
    <row r="281" spans="1:20">
      <c r="C281" t="s">
        <v>53</v>
      </c>
      <c r="L281" s="17"/>
      <c r="M281" s="17"/>
      <c r="N281" s="17"/>
      <c r="O281" s="9"/>
      <c r="P281" s="10"/>
    </row>
    <row r="282" spans="1:20" ht="14.25">
      <c r="B282" t="s">
        <v>213</v>
      </c>
      <c r="L282" s="29" t="s">
        <v>0</v>
      </c>
      <c r="M282" s="885">
        <f>I248*0.5</f>
        <v>66.825000000000003</v>
      </c>
      <c r="N282" s="885"/>
      <c r="O282" s="885"/>
      <c r="P282" t="s">
        <v>7</v>
      </c>
    </row>
    <row r="283" spans="1:20" ht="14.25">
      <c r="B283" s="98" t="s">
        <v>189</v>
      </c>
      <c r="C283" s="94"/>
      <c r="D283" s="94"/>
      <c r="E283" s="94"/>
      <c r="F283" s="94"/>
      <c r="G283" s="94"/>
      <c r="H283" s="94"/>
      <c r="I283" s="94"/>
      <c r="J283" s="104"/>
      <c r="K283" s="13"/>
      <c r="L283" s="32" t="s">
        <v>0</v>
      </c>
      <c r="M283" s="966">
        <f>$L$257</f>
        <v>243.24299999999999</v>
      </c>
      <c r="N283" s="966"/>
      <c r="O283" s="966"/>
      <c r="P283" s="13" t="s">
        <v>7</v>
      </c>
    </row>
    <row r="284" spans="1:20" ht="14.25">
      <c r="J284" t="s">
        <v>194</v>
      </c>
      <c r="L284" s="29" t="s">
        <v>0</v>
      </c>
      <c r="M284" s="885">
        <f>SUM(M282:M283)</f>
        <v>310.06799999999998</v>
      </c>
      <c r="N284" s="890"/>
      <c r="O284" s="890"/>
      <c r="P284" t="s">
        <v>7</v>
      </c>
    </row>
    <row r="285" spans="1:20" ht="6.75" customHeight="1"/>
    <row r="286" spans="1:20">
      <c r="B286" s="16" t="s">
        <v>218</v>
      </c>
      <c r="C286" s="1" t="s">
        <v>0</v>
      </c>
      <c r="D286" s="888">
        <f>$M$284</f>
        <v>310.06799999999998</v>
      </c>
      <c r="E286" s="921"/>
      <c r="F286" s="921"/>
      <c r="G286" t="s">
        <v>1</v>
      </c>
      <c r="H286" s="7">
        <v>2.4</v>
      </c>
      <c r="I286" t="s">
        <v>1</v>
      </c>
      <c r="J286" s="20">
        <v>10</v>
      </c>
      <c r="K286" s="29" t="s">
        <v>0</v>
      </c>
      <c r="L286" s="885">
        <f>D286*H286*J286</f>
        <v>7441.6319999999996</v>
      </c>
      <c r="M286" s="885"/>
      <c r="N286" s="885"/>
      <c r="O286" t="s">
        <v>58</v>
      </c>
    </row>
    <row r="287" spans="1:20">
      <c r="F287" s="8" t="s">
        <v>9</v>
      </c>
      <c r="G287" s="891">
        <v>3</v>
      </c>
      <c r="H287" s="891"/>
      <c r="I287" s="906" t="s">
        <v>59</v>
      </c>
      <c r="J287" s="907"/>
      <c r="R287" s="29" t="s">
        <v>0</v>
      </c>
      <c r="S287" s="16" t="s">
        <v>11</v>
      </c>
      <c r="T287" s="11">
        <f>ROUND(L286*G287,0)</f>
        <v>22325</v>
      </c>
    </row>
    <row r="289" spans="2:20">
      <c r="B289" t="s">
        <v>198</v>
      </c>
    </row>
    <row r="290" spans="2:20">
      <c r="B290" s="16" t="s">
        <v>218</v>
      </c>
      <c r="C290" s="1" t="s">
        <v>0</v>
      </c>
      <c r="D290" s="888">
        <f>$M$284</f>
        <v>310.06799999999998</v>
      </c>
      <c r="E290" s="921"/>
      <c r="F290" s="921"/>
      <c r="G290" t="s">
        <v>1</v>
      </c>
      <c r="H290" s="7">
        <v>2.4</v>
      </c>
      <c r="I290" t="s">
        <v>1</v>
      </c>
      <c r="J290" s="20">
        <v>1</v>
      </c>
      <c r="K290" s="29" t="s">
        <v>0</v>
      </c>
      <c r="L290" s="885">
        <f>D290*H290*J290</f>
        <v>744.16319999999996</v>
      </c>
      <c r="M290" s="885"/>
      <c r="N290" s="885"/>
      <c r="O290" t="s">
        <v>58</v>
      </c>
    </row>
    <row r="291" spans="2:20">
      <c r="F291" s="8" t="s">
        <v>9</v>
      </c>
      <c r="G291" s="891">
        <v>4.3</v>
      </c>
      <c r="H291" s="891"/>
      <c r="I291" s="906" t="s">
        <v>59</v>
      </c>
      <c r="J291" s="907"/>
      <c r="R291" s="29" t="s">
        <v>0</v>
      </c>
      <c r="S291" s="16" t="s">
        <v>11</v>
      </c>
      <c r="T291" s="11">
        <f>ROUND(L290*G291,0)</f>
        <v>3200</v>
      </c>
    </row>
    <row r="294" spans="2:20">
      <c r="B294" s="3" t="s">
        <v>190</v>
      </c>
    </row>
    <row r="295" spans="2:20">
      <c r="C295" s="890" t="s">
        <v>54</v>
      </c>
      <c r="D295" s="890"/>
      <c r="E295" s="890"/>
      <c r="F295" s="890"/>
      <c r="G295" s="890"/>
      <c r="H295" s="890"/>
      <c r="I295" s="890"/>
      <c r="J295" s="890"/>
      <c r="K295" s="890"/>
    </row>
    <row r="296" spans="2:20">
      <c r="C296" t="s">
        <v>55</v>
      </c>
    </row>
    <row r="297" spans="2:20" ht="14.25">
      <c r="B297" t="s">
        <v>213</v>
      </c>
      <c r="L297" s="29" t="s">
        <v>0</v>
      </c>
      <c r="M297" s="885">
        <f>$M$282</f>
        <v>66.825000000000003</v>
      </c>
      <c r="N297" s="885"/>
      <c r="O297" s="885"/>
      <c r="P297" t="s">
        <v>7</v>
      </c>
    </row>
    <row r="298" spans="2:20" ht="14.25">
      <c r="B298" t="s">
        <v>192</v>
      </c>
      <c r="J298" s="13"/>
      <c r="K298" s="13"/>
      <c r="L298" s="32" t="s">
        <v>0</v>
      </c>
      <c r="M298" s="965">
        <f>$M$270</f>
        <v>60.810749999999999</v>
      </c>
      <c r="N298" s="965"/>
      <c r="O298" s="965"/>
      <c r="P298" s="13" t="s">
        <v>7</v>
      </c>
    </row>
    <row r="299" spans="2:20" ht="14.25">
      <c r="J299" t="s">
        <v>194</v>
      </c>
      <c r="L299" s="29" t="s">
        <v>0</v>
      </c>
      <c r="M299" s="885">
        <f>SUM(M287:M298)</f>
        <v>127.63575</v>
      </c>
      <c r="N299" s="890"/>
      <c r="O299" s="890"/>
      <c r="P299" t="s">
        <v>7</v>
      </c>
    </row>
    <row r="301" spans="2:20">
      <c r="B301" s="16" t="s">
        <v>218</v>
      </c>
      <c r="C301" s="1" t="s">
        <v>0</v>
      </c>
      <c r="D301" s="888">
        <f>$M$299</f>
        <v>127.63575</v>
      </c>
      <c r="E301" s="921"/>
      <c r="F301" s="921"/>
      <c r="G301" t="s">
        <v>1</v>
      </c>
      <c r="H301" s="7">
        <v>1.84</v>
      </c>
      <c r="I301" t="s">
        <v>1</v>
      </c>
      <c r="J301" s="20">
        <v>14</v>
      </c>
      <c r="K301" s="29" t="s">
        <v>0</v>
      </c>
      <c r="L301" s="885">
        <f>D301*H301*J301</f>
        <v>3287.8969200000001</v>
      </c>
      <c r="M301" s="885"/>
      <c r="N301" s="885"/>
      <c r="O301" t="s">
        <v>58</v>
      </c>
    </row>
    <row r="302" spans="2:20">
      <c r="F302" s="8" t="s">
        <v>9</v>
      </c>
      <c r="G302" s="891">
        <v>3</v>
      </c>
      <c r="H302" s="891"/>
      <c r="I302" s="906" t="s">
        <v>59</v>
      </c>
      <c r="J302" s="907"/>
      <c r="R302" s="29" t="s">
        <v>0</v>
      </c>
      <c r="S302" s="16" t="s">
        <v>11</v>
      </c>
      <c r="T302" s="11">
        <f>ROUND(L301*G302,0)</f>
        <v>9864</v>
      </c>
    </row>
    <row r="304" spans="2:20">
      <c r="B304" t="s">
        <v>198</v>
      </c>
    </row>
    <row r="305" spans="1:20">
      <c r="B305" s="16" t="s">
        <v>218</v>
      </c>
      <c r="C305" s="1" t="s">
        <v>0</v>
      </c>
      <c r="D305" s="888">
        <f>$M$299</f>
        <v>127.63575</v>
      </c>
      <c r="E305" s="921"/>
      <c r="F305" s="921"/>
      <c r="G305" t="s">
        <v>1</v>
      </c>
      <c r="H305" s="7">
        <v>1.84</v>
      </c>
      <c r="I305" t="s">
        <v>1</v>
      </c>
      <c r="J305" s="20">
        <v>1</v>
      </c>
      <c r="K305" s="29" t="s">
        <v>0</v>
      </c>
      <c r="L305" s="885">
        <f>D305*H305*J305</f>
        <v>234.84978000000001</v>
      </c>
      <c r="M305" s="885"/>
      <c r="N305" s="885"/>
      <c r="O305" t="s">
        <v>58</v>
      </c>
    </row>
    <row r="306" spans="1:20">
      <c r="F306" s="8" t="s">
        <v>9</v>
      </c>
      <c r="G306" s="891">
        <v>4.3</v>
      </c>
      <c r="H306" s="891"/>
      <c r="I306" s="906" t="s">
        <v>59</v>
      </c>
      <c r="J306" s="907"/>
      <c r="R306" s="29" t="s">
        <v>0</v>
      </c>
      <c r="S306" s="16" t="s">
        <v>11</v>
      </c>
      <c r="T306" s="11">
        <f>ROUND(L305*G306,0)</f>
        <v>1010</v>
      </c>
    </row>
    <row r="309" spans="1:20">
      <c r="A309" s="1" t="s">
        <v>199</v>
      </c>
      <c r="B309" t="s">
        <v>200</v>
      </c>
    </row>
    <row r="310" spans="1:20">
      <c r="B310" t="s">
        <v>219</v>
      </c>
    </row>
    <row r="311" spans="1:20" ht="14.25">
      <c r="B311" t="s">
        <v>221</v>
      </c>
      <c r="J311" s="29" t="s">
        <v>0</v>
      </c>
      <c r="K311" s="888">
        <f>$M$284</f>
        <v>310.06799999999998</v>
      </c>
      <c r="L311" s="888"/>
      <c r="M311" t="s">
        <v>7</v>
      </c>
    </row>
    <row r="312" spans="1:20">
      <c r="F312" s="8" t="s">
        <v>9</v>
      </c>
      <c r="G312" s="891">
        <v>102</v>
      </c>
      <c r="H312" s="891"/>
      <c r="I312" s="102" t="s">
        <v>203</v>
      </c>
      <c r="J312" s="103"/>
      <c r="R312" s="29" t="s">
        <v>0</v>
      </c>
      <c r="S312" s="16" t="s">
        <v>11</v>
      </c>
      <c r="T312" s="11">
        <f>ROUND(K311*G312,0)</f>
        <v>31627</v>
      </c>
    </row>
    <row r="314" spans="1:20">
      <c r="B314" t="s">
        <v>204</v>
      </c>
    </row>
    <row r="315" spans="1:20" ht="14.25">
      <c r="B315" t="s">
        <v>221</v>
      </c>
      <c r="J315" s="29" t="s">
        <v>0</v>
      </c>
      <c r="K315" s="888">
        <f>$M$299</f>
        <v>127.63575</v>
      </c>
      <c r="L315" s="888"/>
      <c r="M315" t="s">
        <v>7</v>
      </c>
    </row>
    <row r="316" spans="1:20">
      <c r="F316" s="8" t="s">
        <v>9</v>
      </c>
      <c r="G316" s="891">
        <v>40.799999999999997</v>
      </c>
      <c r="H316" s="891"/>
      <c r="I316" s="102" t="s">
        <v>203</v>
      </c>
      <c r="J316" s="103"/>
      <c r="R316" s="29" t="s">
        <v>0</v>
      </c>
      <c r="S316" s="16" t="s">
        <v>11</v>
      </c>
      <c r="T316" s="11">
        <f>ROUND(K315*G316,0)</f>
        <v>5208</v>
      </c>
    </row>
    <row r="317" spans="1:20">
      <c r="P317" s="13"/>
      <c r="Q317" s="13"/>
      <c r="R317" s="13"/>
      <c r="S317" s="13"/>
      <c r="T317" s="13"/>
    </row>
    <row r="318" spans="1:20">
      <c r="P318" s="3" t="s">
        <v>222</v>
      </c>
      <c r="Q318" s="3"/>
      <c r="R318" s="50" t="s">
        <v>0</v>
      </c>
      <c r="S318" s="49" t="s">
        <v>11</v>
      </c>
      <c r="T318" s="28">
        <f>SUM(T277:T317)</f>
        <v>970899</v>
      </c>
    </row>
    <row r="319" spans="1:20">
      <c r="P319" s="3"/>
      <c r="Q319" s="3"/>
      <c r="R319" s="50"/>
      <c r="S319" s="49"/>
      <c r="T319" s="28"/>
    </row>
    <row r="320" spans="1:20">
      <c r="P320" s="3"/>
      <c r="Q320" s="3"/>
      <c r="R320" s="50"/>
      <c r="S320" s="49"/>
      <c r="T320" s="28"/>
    </row>
    <row r="321" spans="1:20">
      <c r="P321" s="3"/>
      <c r="Q321" s="3"/>
      <c r="R321" s="50"/>
      <c r="S321" s="49"/>
      <c r="T321" s="28"/>
    </row>
    <row r="322" spans="1:20">
      <c r="P322" s="3"/>
      <c r="Q322" s="3"/>
      <c r="R322" s="50"/>
      <c r="S322" s="49"/>
      <c r="T322" s="28"/>
    </row>
    <row r="323" spans="1:20">
      <c r="P323" s="3"/>
      <c r="Q323" s="3"/>
      <c r="R323" s="50"/>
      <c r="S323" s="49"/>
      <c r="T323" s="28"/>
    </row>
    <row r="328" spans="1:20">
      <c r="B328" t="s">
        <v>229</v>
      </c>
      <c r="O328" t="s">
        <v>226</v>
      </c>
    </row>
    <row r="329" spans="1:20">
      <c r="B329" t="s">
        <v>230</v>
      </c>
      <c r="O329" t="s">
        <v>227</v>
      </c>
    </row>
    <row r="330" spans="1:20">
      <c r="B330" t="s">
        <v>231</v>
      </c>
      <c r="O330" t="s">
        <v>228</v>
      </c>
    </row>
    <row r="332" spans="1:20">
      <c r="P332" s="3" t="s">
        <v>262</v>
      </c>
    </row>
    <row r="333" spans="1:20" ht="45.75" customHeight="1">
      <c r="B333" s="975" t="s">
        <v>167</v>
      </c>
      <c r="C333" s="978"/>
      <c r="D333" s="978"/>
      <c r="E333" s="978"/>
      <c r="F333" s="978"/>
      <c r="G333" s="978"/>
      <c r="H333" s="978"/>
      <c r="I333" s="978"/>
      <c r="J333" s="978"/>
      <c r="K333" s="978"/>
      <c r="L333" s="978"/>
      <c r="M333" s="978"/>
      <c r="N333" s="978"/>
      <c r="O333" s="978"/>
      <c r="P333" s="978"/>
      <c r="Q333" s="978"/>
      <c r="R333" s="978"/>
      <c r="S333" s="978"/>
      <c r="T333" s="59"/>
    </row>
    <row r="334" spans="1:20">
      <c r="B334" s="93"/>
      <c r="C334" s="88"/>
      <c r="D334" s="88"/>
      <c r="E334" s="88"/>
      <c r="F334" s="88"/>
      <c r="G334" s="88"/>
      <c r="H334" s="88"/>
      <c r="I334" s="88"/>
      <c r="J334" s="88"/>
      <c r="K334" s="88"/>
      <c r="L334" s="88"/>
      <c r="M334" s="88"/>
      <c r="N334" s="88"/>
      <c r="O334" s="88"/>
      <c r="P334" s="88"/>
      <c r="Q334" s="88"/>
      <c r="R334" s="88"/>
      <c r="S334" s="88"/>
      <c r="T334" s="59"/>
    </row>
    <row r="335" spans="1:20" ht="42.75" customHeight="1">
      <c r="A335" s="54" t="s">
        <v>148</v>
      </c>
      <c r="B335" s="936" t="s">
        <v>149</v>
      </c>
      <c r="C335" s="936"/>
      <c r="D335" s="936"/>
      <c r="E335" s="936"/>
      <c r="F335" s="936"/>
      <c r="G335" s="936"/>
      <c r="H335" s="936"/>
      <c r="I335" s="936"/>
      <c r="J335" s="936"/>
      <c r="K335" s="936"/>
      <c r="L335" s="936"/>
      <c r="M335" s="936"/>
      <c r="N335" s="936"/>
      <c r="O335" s="936"/>
      <c r="P335" s="936"/>
      <c r="Q335" s="936"/>
    </row>
    <row r="336" spans="1:20" ht="12.75" customHeight="1">
      <c r="A336" s="52"/>
      <c r="B336" s="97" t="s">
        <v>150</v>
      </c>
      <c r="C336" s="92"/>
      <c r="D336" s="92"/>
      <c r="E336" s="92"/>
      <c r="F336" s="92"/>
      <c r="G336" s="92"/>
      <c r="H336" s="92"/>
      <c r="I336" s="92"/>
      <c r="J336" s="92"/>
      <c r="K336" s="92"/>
      <c r="L336" s="92"/>
      <c r="M336" s="92"/>
      <c r="N336" s="92"/>
      <c r="O336" s="92"/>
      <c r="P336" s="92"/>
      <c r="Q336" s="92"/>
    </row>
    <row r="337" spans="1:20" ht="14.25">
      <c r="A337" s="42"/>
      <c r="B337" s="97" t="s">
        <v>250</v>
      </c>
      <c r="C337" s="92"/>
      <c r="D337" s="92"/>
      <c r="E337" s="92"/>
      <c r="F337" s="92"/>
      <c r="G337" s="53"/>
      <c r="H337" s="97" t="s">
        <v>247</v>
      </c>
      <c r="I337" s="92"/>
      <c r="J337" s="92"/>
      <c r="K337" s="92"/>
      <c r="L337" s="95" t="s">
        <v>0</v>
      </c>
      <c r="M337" s="962">
        <v>34735.56</v>
      </c>
      <c r="N337" s="962"/>
      <c r="O337" s="962"/>
      <c r="P337" s="92" t="s">
        <v>16</v>
      </c>
      <c r="Q337" s="92"/>
    </row>
    <row r="338" spans="1:20" ht="14.25">
      <c r="A338" s="18"/>
      <c r="B338" s="61" t="s">
        <v>217</v>
      </c>
      <c r="C338" s="958">
        <v>0.25</v>
      </c>
      <c r="D338" s="958"/>
      <c r="E338" s="958"/>
      <c r="F338" s="34" t="s">
        <v>1</v>
      </c>
      <c r="G338" s="908">
        <v>34735.56</v>
      </c>
      <c r="H338" s="908"/>
      <c r="I338" s="908"/>
      <c r="J338" s="96" t="s">
        <v>0</v>
      </c>
      <c r="K338" s="922">
        <f>G338*C338</f>
        <v>8683.89</v>
      </c>
      <c r="L338" s="922"/>
      <c r="M338" s="922"/>
      <c r="N338" s="64" t="s">
        <v>7</v>
      </c>
      <c r="O338" s="35"/>
      <c r="P338" s="19"/>
      <c r="Q338" s="18"/>
      <c r="R338" s="18"/>
      <c r="S338" s="18"/>
      <c r="T338" s="18"/>
    </row>
    <row r="339" spans="1:20" ht="14.25">
      <c r="B339" s="43"/>
      <c r="C339" s="1"/>
      <c r="F339" s="8" t="s">
        <v>9</v>
      </c>
      <c r="G339" s="891">
        <v>72</v>
      </c>
      <c r="H339" s="891"/>
      <c r="I339" s="906" t="s">
        <v>10</v>
      </c>
      <c r="J339" s="907"/>
      <c r="R339" s="29" t="s">
        <v>0</v>
      </c>
      <c r="S339" s="16" t="s">
        <v>11</v>
      </c>
      <c r="T339" s="11">
        <f>ROUND(K338*G339,0)</f>
        <v>625240</v>
      </c>
    </row>
    <row r="343" spans="1:20" ht="42" customHeight="1">
      <c r="A343" s="54" t="s">
        <v>151</v>
      </c>
      <c r="B343" s="936" t="s">
        <v>152</v>
      </c>
      <c r="C343" s="936"/>
      <c r="D343" s="936"/>
      <c r="E343" s="936"/>
      <c r="F343" s="936"/>
      <c r="G343" s="936"/>
      <c r="H343" s="936"/>
      <c r="I343" s="936"/>
      <c r="J343" s="936"/>
      <c r="K343" s="936"/>
      <c r="L343" s="936"/>
      <c r="M343" s="936"/>
      <c r="N343" s="936"/>
      <c r="O343" s="936"/>
      <c r="P343" s="936"/>
      <c r="Q343" s="936"/>
    </row>
    <row r="344" spans="1:20" ht="14.25">
      <c r="A344" s="42"/>
      <c r="B344" s="97" t="s">
        <v>252</v>
      </c>
      <c r="C344" s="92"/>
      <c r="D344" s="92"/>
      <c r="E344" s="92"/>
      <c r="F344" s="92"/>
      <c r="G344" s="53"/>
      <c r="H344" s="92"/>
      <c r="I344" s="92"/>
      <c r="J344" s="92"/>
      <c r="K344" s="92"/>
      <c r="L344" s="92"/>
      <c r="M344" s="971">
        <v>51113.89</v>
      </c>
      <c r="N344" s="971"/>
      <c r="O344" s="971"/>
      <c r="P344" s="92" t="s">
        <v>16</v>
      </c>
      <c r="Q344" s="92"/>
    </row>
    <row r="345" spans="1:20" ht="14.25">
      <c r="B345" s="43"/>
      <c r="C345" s="1"/>
      <c r="F345" s="8" t="s">
        <v>9</v>
      </c>
      <c r="G345" s="891">
        <v>16</v>
      </c>
      <c r="H345" s="891"/>
      <c r="I345" s="906" t="s">
        <v>17</v>
      </c>
      <c r="J345" s="907"/>
      <c r="R345" s="29" t="s">
        <v>0</v>
      </c>
      <c r="S345" s="16" t="s">
        <v>11</v>
      </c>
      <c r="T345" s="11">
        <f>ROUND(M344*G345,0)</f>
        <v>817822</v>
      </c>
    </row>
    <row r="349" spans="1:20">
      <c r="A349" s="972" t="s">
        <v>154</v>
      </c>
      <c r="B349" s="973" t="s">
        <v>144</v>
      </c>
      <c r="C349" s="974"/>
      <c r="D349" s="974"/>
      <c r="E349" s="974"/>
      <c r="F349" s="974"/>
      <c r="G349" s="974"/>
      <c r="H349" s="974"/>
      <c r="I349" s="974"/>
      <c r="J349" s="974"/>
      <c r="K349" s="974"/>
      <c r="L349" s="974"/>
      <c r="M349" s="974"/>
      <c r="N349" s="974"/>
      <c r="O349" s="974"/>
      <c r="P349" s="974"/>
      <c r="Q349" s="974"/>
      <c r="R349" s="59"/>
      <c r="S349" s="59"/>
      <c r="T349" s="59"/>
    </row>
    <row r="350" spans="1:20" ht="54.75" customHeight="1">
      <c r="A350" s="972"/>
      <c r="B350" s="936" t="s">
        <v>145</v>
      </c>
      <c r="C350" s="936"/>
      <c r="D350" s="936"/>
      <c r="E350" s="936"/>
      <c r="F350" s="936"/>
      <c r="G350" s="936"/>
      <c r="H350" s="936"/>
      <c r="I350" s="936"/>
      <c r="J350" s="936"/>
      <c r="K350" s="936"/>
      <c r="L350" s="936"/>
      <c r="M350" s="936"/>
      <c r="N350" s="936"/>
      <c r="O350" s="936"/>
      <c r="P350" s="936"/>
      <c r="Q350" s="936"/>
    </row>
    <row r="351" spans="1:20">
      <c r="A351" s="52"/>
      <c r="B351" s="908" t="s">
        <v>153</v>
      </c>
      <c r="C351" s="908"/>
      <c r="D351" s="908"/>
      <c r="E351" s="908"/>
      <c r="F351" s="908"/>
      <c r="G351" s="908"/>
      <c r="H351" s="908"/>
      <c r="I351" s="908"/>
      <c r="J351" s="908"/>
      <c r="K351" s="908"/>
      <c r="L351" s="908"/>
      <c r="M351" s="908"/>
      <c r="N351" s="908"/>
      <c r="O351" s="908"/>
      <c r="P351" s="908"/>
      <c r="Q351" s="908"/>
    </row>
    <row r="352" spans="1:20" ht="14.25">
      <c r="A352" s="42"/>
      <c r="B352" s="970" t="s">
        <v>251</v>
      </c>
      <c r="C352" s="970"/>
      <c r="D352" s="970"/>
      <c r="E352" s="970"/>
      <c r="F352" s="970"/>
      <c r="G352" s="970"/>
      <c r="H352" s="95" t="s">
        <v>0</v>
      </c>
      <c r="I352" s="908">
        <v>34735.56</v>
      </c>
      <c r="J352" s="908"/>
      <c r="K352" s="908"/>
      <c r="L352" s="64" t="s">
        <v>16</v>
      </c>
      <c r="M352" s="53"/>
      <c r="N352" s="92"/>
      <c r="O352" s="92"/>
      <c r="P352" s="92"/>
      <c r="Q352" s="92"/>
    </row>
    <row r="353" spans="1:20" ht="14.25">
      <c r="A353" s="18"/>
      <c r="B353" s="61" t="s">
        <v>172</v>
      </c>
      <c r="C353" s="35"/>
      <c r="D353" s="33"/>
      <c r="E353" s="33"/>
      <c r="F353" s="34"/>
      <c r="G353" s="53"/>
      <c r="H353" s="95" t="s">
        <v>0</v>
      </c>
      <c r="I353" s="922">
        <f>I352*0.1</f>
        <v>3473.556</v>
      </c>
      <c r="J353" s="922"/>
      <c r="K353" s="922"/>
      <c r="L353" s="64" t="s">
        <v>7</v>
      </c>
      <c r="M353" s="33"/>
      <c r="N353" s="33"/>
      <c r="O353" s="35"/>
      <c r="P353" s="19"/>
      <c r="Q353" s="18"/>
      <c r="R353" s="18"/>
      <c r="S353" s="18"/>
      <c r="T353" s="18"/>
    </row>
    <row r="354" spans="1:20" ht="14.25">
      <c r="B354" s="43"/>
      <c r="C354" s="1"/>
      <c r="F354" s="8" t="s">
        <v>9</v>
      </c>
      <c r="G354" s="891">
        <v>540</v>
      </c>
      <c r="H354" s="891"/>
      <c r="I354" s="906" t="s">
        <v>10</v>
      </c>
      <c r="J354" s="907"/>
      <c r="R354" s="29" t="s">
        <v>0</v>
      </c>
      <c r="S354" s="16" t="s">
        <v>11</v>
      </c>
      <c r="T354" s="11">
        <f>ROUND(I353*G354,0)</f>
        <v>1875720</v>
      </c>
    </row>
    <row r="358" spans="1:20" ht="84" customHeight="1">
      <c r="A358" s="54" t="s">
        <v>155</v>
      </c>
      <c r="B358" s="936" t="s">
        <v>146</v>
      </c>
      <c r="C358" s="936"/>
      <c r="D358" s="936"/>
      <c r="E358" s="936"/>
      <c r="F358" s="936"/>
      <c r="G358" s="936"/>
      <c r="H358" s="936"/>
      <c r="I358" s="936"/>
      <c r="J358" s="936"/>
      <c r="K358" s="936"/>
      <c r="L358" s="936"/>
      <c r="M358" s="936"/>
      <c r="N358" s="936"/>
      <c r="O358" s="936"/>
      <c r="P358" s="936"/>
      <c r="Q358" s="936"/>
    </row>
    <row r="359" spans="1:20">
      <c r="A359" s="54"/>
      <c r="B359" s="926" t="s">
        <v>147</v>
      </c>
      <c r="C359" s="926"/>
      <c r="D359" s="926"/>
      <c r="E359" s="926"/>
      <c r="F359" s="926"/>
      <c r="G359" s="926"/>
      <c r="H359" s="926"/>
      <c r="I359" s="91"/>
      <c r="J359" s="91"/>
      <c r="K359" s="91"/>
      <c r="L359" s="91"/>
      <c r="M359" s="91"/>
      <c r="N359" s="91"/>
      <c r="O359" s="91"/>
      <c r="P359" s="91"/>
      <c r="Q359" s="91"/>
    </row>
    <row r="360" spans="1:20">
      <c r="A360" s="54"/>
      <c r="B360" s="97" t="s">
        <v>158</v>
      </c>
      <c r="C360" s="94"/>
      <c r="D360" s="94"/>
      <c r="E360" s="94"/>
      <c r="F360" s="94"/>
      <c r="G360" s="94"/>
      <c r="H360" s="94"/>
      <c r="I360" s="91"/>
      <c r="J360" s="91"/>
      <c r="K360" s="91"/>
      <c r="L360" s="91"/>
      <c r="M360" s="91"/>
      <c r="N360" s="91"/>
      <c r="O360" s="91"/>
      <c r="P360" s="91"/>
      <c r="Q360" s="91"/>
    </row>
    <row r="361" spans="1:20" ht="12.75" customHeight="1">
      <c r="A361" s="54"/>
      <c r="B361" s="98" t="s">
        <v>160</v>
      </c>
      <c r="C361" s="94"/>
      <c r="D361" s="94"/>
      <c r="E361" s="94"/>
      <c r="F361" s="94"/>
      <c r="G361" s="94"/>
      <c r="H361" s="94"/>
      <c r="I361" s="94"/>
      <c r="J361" s="94"/>
      <c r="K361" s="94"/>
      <c r="L361" s="94"/>
      <c r="M361" s="94"/>
      <c r="N361" s="94"/>
      <c r="O361" s="94"/>
      <c r="P361" s="94"/>
      <c r="Q361" s="94"/>
    </row>
    <row r="362" spans="1:20" ht="14.25">
      <c r="A362" s="18"/>
      <c r="B362" s="61" t="s">
        <v>171</v>
      </c>
      <c r="C362" s="35"/>
      <c r="D362" s="33"/>
      <c r="E362" s="33"/>
      <c r="F362" s="34"/>
      <c r="G362" s="33"/>
      <c r="H362" s="34"/>
      <c r="I362" s="922">
        <f>$G$338</f>
        <v>34735.56</v>
      </c>
      <c r="J362" s="922"/>
      <c r="K362" s="922"/>
      <c r="L362" s="64" t="s">
        <v>16</v>
      </c>
      <c r="M362" s="33"/>
      <c r="N362" s="33"/>
      <c r="O362" s="35"/>
      <c r="P362" s="19"/>
      <c r="Q362" s="18"/>
      <c r="R362" s="18"/>
      <c r="S362" s="18"/>
      <c r="T362" s="18"/>
    </row>
    <row r="363" spans="1:20" ht="14.25">
      <c r="A363" s="18"/>
      <c r="B363" s="61" t="s">
        <v>173</v>
      </c>
      <c r="D363" s="35"/>
      <c r="E363" s="33"/>
      <c r="F363" s="33"/>
      <c r="G363" s="99"/>
      <c r="H363" s="99"/>
      <c r="I363" s="79"/>
      <c r="J363" s="79"/>
      <c r="K363" s="35"/>
      <c r="L363" s="64"/>
      <c r="M363" s="33"/>
      <c r="N363" s="33"/>
      <c r="O363" s="35"/>
      <c r="P363" s="19"/>
      <c r="Q363" s="18"/>
      <c r="R363" s="18"/>
      <c r="S363" s="18"/>
      <c r="T363" s="18"/>
    </row>
    <row r="364" spans="1:20" ht="14.25">
      <c r="A364" s="18"/>
      <c r="B364" s="56"/>
      <c r="D364" s="35"/>
      <c r="E364" s="33"/>
      <c r="F364" s="33"/>
      <c r="G364" s="99"/>
      <c r="H364" s="99" t="s">
        <v>174</v>
      </c>
      <c r="I364" s="922">
        <f>I362*0.091*2</f>
        <v>6321.8719199999996</v>
      </c>
      <c r="J364" s="922"/>
      <c r="K364" s="922"/>
      <c r="L364" s="64" t="s">
        <v>7</v>
      </c>
      <c r="M364" s="33"/>
      <c r="N364" s="33"/>
      <c r="O364" s="35"/>
      <c r="P364" s="19"/>
      <c r="Q364" s="18"/>
      <c r="R364" s="18"/>
      <c r="S364" s="18"/>
      <c r="T364" s="18"/>
    </row>
    <row r="365" spans="1:20" ht="14.25">
      <c r="B365" s="43"/>
      <c r="C365" s="1"/>
      <c r="F365" s="8" t="s">
        <v>9</v>
      </c>
      <c r="G365" s="891">
        <v>628</v>
      </c>
      <c r="H365" s="891"/>
      <c r="I365" s="906" t="s">
        <v>10</v>
      </c>
      <c r="J365" s="907"/>
      <c r="R365" s="29" t="s">
        <v>0</v>
      </c>
      <c r="S365" s="16" t="s">
        <v>11</v>
      </c>
      <c r="T365" s="11">
        <f>ROUND(I364*G365,0)</f>
        <v>3970136</v>
      </c>
    </row>
    <row r="366" spans="1:20">
      <c r="B366" s="43"/>
      <c r="C366" s="1"/>
      <c r="F366" s="8"/>
      <c r="G366" s="17"/>
      <c r="H366" s="17"/>
      <c r="I366" s="9"/>
      <c r="J366" s="10"/>
      <c r="P366" s="13"/>
      <c r="Q366" s="13"/>
      <c r="R366" s="32"/>
      <c r="S366" s="23"/>
      <c r="T366" s="27"/>
    </row>
    <row r="367" spans="1:20">
      <c r="B367" s="43"/>
      <c r="C367" s="1"/>
      <c r="F367" s="8"/>
      <c r="G367" s="17"/>
      <c r="H367" s="17"/>
      <c r="I367" s="9"/>
      <c r="J367" s="10"/>
      <c r="P367" s="3" t="s">
        <v>141</v>
      </c>
      <c r="Q367" s="3"/>
      <c r="R367" s="90" t="s">
        <v>0</v>
      </c>
      <c r="S367" s="58" t="s">
        <v>11</v>
      </c>
      <c r="T367" s="26">
        <f>SUM(T339:T366)</f>
        <v>7288918</v>
      </c>
    </row>
    <row r="368" spans="1:20">
      <c r="B368" s="43"/>
      <c r="C368" s="1"/>
      <c r="F368" s="8"/>
      <c r="G368" s="17"/>
      <c r="H368" s="17"/>
      <c r="I368" s="9"/>
      <c r="J368" s="10"/>
      <c r="R368" s="29"/>
      <c r="S368" s="16"/>
      <c r="T368" s="11"/>
    </row>
    <row r="369" spans="1:20">
      <c r="B369" s="43"/>
      <c r="C369" s="1"/>
      <c r="F369" s="8"/>
      <c r="G369" s="17"/>
      <c r="H369" s="17"/>
      <c r="I369" s="9"/>
      <c r="J369" s="10"/>
      <c r="R369" s="29"/>
      <c r="S369" s="16"/>
      <c r="T369" s="11"/>
    </row>
    <row r="370" spans="1:20">
      <c r="P370" s="3" t="s">
        <v>140</v>
      </c>
      <c r="Q370" s="3"/>
      <c r="R370" s="90" t="s">
        <v>0</v>
      </c>
      <c r="S370" s="58" t="s">
        <v>11</v>
      </c>
      <c r="T370" s="111">
        <f>$T$367</f>
        <v>7288918</v>
      </c>
    </row>
    <row r="371" spans="1:20">
      <c r="B371" t="s">
        <v>159</v>
      </c>
    </row>
    <row r="372" spans="1:20">
      <c r="B372" s="98" t="s">
        <v>161</v>
      </c>
      <c r="C372" s="94"/>
      <c r="D372" s="94"/>
      <c r="E372" s="94"/>
      <c r="F372" s="94"/>
      <c r="G372" s="94"/>
      <c r="H372" s="94"/>
      <c r="I372" s="94"/>
      <c r="J372" s="94"/>
      <c r="K372" s="94"/>
      <c r="L372" s="94"/>
      <c r="M372" s="94"/>
      <c r="N372" s="94"/>
      <c r="O372" s="94"/>
      <c r="P372" s="94"/>
      <c r="Q372" s="94"/>
    </row>
    <row r="373" spans="1:20" ht="14.25">
      <c r="B373" s="61" t="s">
        <v>253</v>
      </c>
      <c r="C373" s="35"/>
      <c r="D373" s="33"/>
      <c r="E373" s="33"/>
      <c r="F373" s="34"/>
      <c r="G373" s="33"/>
      <c r="H373" s="34"/>
      <c r="I373" s="922">
        <v>85849.45</v>
      </c>
      <c r="J373" s="922"/>
      <c r="K373" s="922"/>
      <c r="L373" s="64" t="s">
        <v>16</v>
      </c>
      <c r="M373" s="33"/>
      <c r="N373" s="33"/>
      <c r="O373" s="35"/>
      <c r="P373" s="19"/>
      <c r="Q373" s="18"/>
      <c r="R373" s="18"/>
      <c r="S373" s="18"/>
    </row>
    <row r="374" spans="1:20" ht="14.25">
      <c r="B374" s="61" t="s">
        <v>175</v>
      </c>
      <c r="D374" s="35"/>
      <c r="E374" s="33"/>
      <c r="F374" s="33"/>
      <c r="G374" s="33"/>
      <c r="H374" s="34"/>
      <c r="I374" s="79"/>
      <c r="J374" s="79"/>
      <c r="K374" s="35"/>
      <c r="L374" s="64"/>
      <c r="M374" s="33"/>
      <c r="N374" s="33"/>
      <c r="O374" s="35"/>
      <c r="P374" s="19"/>
      <c r="Q374" s="18"/>
      <c r="R374" s="18"/>
      <c r="S374" s="18"/>
    </row>
    <row r="375" spans="1:20" ht="14.25">
      <c r="B375" s="56"/>
      <c r="D375" s="35"/>
      <c r="E375" s="33"/>
      <c r="F375" s="33"/>
      <c r="G375" s="33"/>
      <c r="H375" s="99" t="s">
        <v>174</v>
      </c>
      <c r="I375" s="922">
        <f>I373*0.091*2</f>
        <v>15624.599899999999</v>
      </c>
      <c r="J375" s="922"/>
      <c r="K375" s="922"/>
      <c r="L375" s="64" t="s">
        <v>7</v>
      </c>
      <c r="M375" s="33"/>
      <c r="N375" s="33"/>
      <c r="O375" s="35"/>
      <c r="P375" s="19"/>
      <c r="Q375" s="18"/>
      <c r="R375" s="18"/>
      <c r="S375" s="18"/>
    </row>
    <row r="376" spans="1:20" ht="14.25">
      <c r="B376" s="43"/>
      <c r="C376" s="1"/>
      <c r="F376" s="8" t="s">
        <v>9</v>
      </c>
      <c r="G376" s="891">
        <v>665</v>
      </c>
      <c r="H376" s="891"/>
      <c r="I376" s="906" t="s">
        <v>10</v>
      </c>
      <c r="J376" s="907"/>
      <c r="R376" s="29" t="s">
        <v>0</v>
      </c>
      <c r="S376" s="16" t="s">
        <v>11</v>
      </c>
      <c r="T376" s="11">
        <f>ROUND(I375*G376,0)</f>
        <v>10390359</v>
      </c>
    </row>
    <row r="380" spans="1:20" ht="43.5" customHeight="1">
      <c r="A380" s="54" t="s">
        <v>162</v>
      </c>
      <c r="B380" s="936" t="s">
        <v>163</v>
      </c>
      <c r="C380" s="936"/>
      <c r="D380" s="936"/>
      <c r="E380" s="936"/>
      <c r="F380" s="936"/>
      <c r="G380" s="936"/>
      <c r="H380" s="936"/>
      <c r="I380" s="936"/>
      <c r="J380" s="936"/>
      <c r="K380" s="936"/>
      <c r="L380" s="936"/>
      <c r="M380" s="936"/>
      <c r="N380" s="936"/>
      <c r="O380" s="936"/>
      <c r="P380" s="936"/>
      <c r="Q380" s="936"/>
    </row>
    <row r="381" spans="1:20" ht="12.75" customHeight="1">
      <c r="A381" s="54"/>
      <c r="B381" t="s">
        <v>164</v>
      </c>
      <c r="C381" s="91"/>
      <c r="D381" s="91"/>
      <c r="E381" s="91"/>
      <c r="F381" s="91"/>
      <c r="G381" s="91"/>
      <c r="H381" s="91"/>
      <c r="I381" s="91"/>
      <c r="J381" s="91"/>
      <c r="K381" s="91"/>
      <c r="L381" s="91"/>
      <c r="M381" s="91"/>
      <c r="N381" s="91"/>
      <c r="O381" s="91"/>
      <c r="P381" s="91"/>
      <c r="Q381" s="91"/>
    </row>
    <row r="382" spans="1:20" ht="14.25">
      <c r="B382" s="61" t="s">
        <v>253</v>
      </c>
      <c r="C382" s="35"/>
      <c r="D382" s="33"/>
      <c r="E382" s="33"/>
      <c r="F382" s="34"/>
      <c r="G382" s="33"/>
      <c r="H382" s="34"/>
      <c r="I382" s="922">
        <f>$I$373</f>
        <v>85849.45</v>
      </c>
      <c r="J382" s="922"/>
      <c r="K382" s="922"/>
      <c r="L382" s="64" t="s">
        <v>16</v>
      </c>
    </row>
    <row r="383" spans="1:20" ht="14.25">
      <c r="F383" s="8" t="s">
        <v>9</v>
      </c>
      <c r="G383" s="891">
        <v>28</v>
      </c>
      <c r="H383" s="891"/>
      <c r="I383" s="906" t="s">
        <v>17</v>
      </c>
      <c r="J383" s="907"/>
      <c r="R383" s="29" t="s">
        <v>0</v>
      </c>
      <c r="S383" s="16" t="s">
        <v>11</v>
      </c>
      <c r="T383" s="11">
        <f>ROUND(I382*G383,0)</f>
        <v>2403785</v>
      </c>
    </row>
    <row r="387" spans="1:20" ht="44.25" customHeight="1">
      <c r="A387" s="54" t="s">
        <v>165</v>
      </c>
      <c r="B387" s="936" t="s">
        <v>265</v>
      </c>
      <c r="C387" s="936"/>
      <c r="D387" s="936"/>
      <c r="E387" s="936"/>
      <c r="F387" s="936"/>
      <c r="G387" s="936"/>
      <c r="H387" s="936"/>
      <c r="I387" s="936"/>
      <c r="J387" s="936"/>
      <c r="K387" s="936"/>
      <c r="L387" s="936"/>
      <c r="M387" s="936"/>
      <c r="N387" s="936"/>
      <c r="O387" s="936"/>
      <c r="P387" s="936"/>
      <c r="Q387" s="936"/>
    </row>
    <row r="388" spans="1:20">
      <c r="B388" t="s">
        <v>166</v>
      </c>
    </row>
    <row r="389" spans="1:20" ht="14.25">
      <c r="B389" s="61" t="s">
        <v>254</v>
      </c>
      <c r="C389" s="35"/>
      <c r="D389" s="33"/>
      <c r="E389" s="33"/>
      <c r="F389" s="34"/>
      <c r="G389" s="33"/>
      <c r="H389" s="34"/>
      <c r="I389" s="922">
        <f>$I$382</f>
        <v>85849.45</v>
      </c>
      <c r="J389" s="922"/>
      <c r="K389" s="922"/>
      <c r="L389" s="64" t="s">
        <v>16</v>
      </c>
    </row>
    <row r="390" spans="1:20" ht="14.25">
      <c r="F390" s="8" t="s">
        <v>9</v>
      </c>
      <c r="G390" s="891">
        <v>7.65</v>
      </c>
      <c r="H390" s="891"/>
      <c r="I390" s="906" t="s">
        <v>17</v>
      </c>
      <c r="J390" s="907"/>
      <c r="R390" s="29" t="s">
        <v>0</v>
      </c>
      <c r="S390" s="16" t="s">
        <v>11</v>
      </c>
      <c r="T390" s="11">
        <f>ROUND(I389*G390,0)</f>
        <v>656748</v>
      </c>
    </row>
    <row r="391" spans="1:20">
      <c r="F391" s="8"/>
      <c r="G391" s="17"/>
      <c r="H391" s="17"/>
      <c r="I391" s="9"/>
      <c r="J391" s="10"/>
      <c r="R391" s="29"/>
      <c r="S391" s="16"/>
      <c r="T391" s="11"/>
    </row>
    <row r="394" spans="1:20" ht="81" customHeight="1">
      <c r="A394" s="54" t="s">
        <v>176</v>
      </c>
      <c r="B394" s="936" t="s">
        <v>177</v>
      </c>
      <c r="C394" s="936"/>
      <c r="D394" s="936"/>
      <c r="E394" s="936"/>
      <c r="F394" s="936"/>
      <c r="G394" s="936"/>
      <c r="H394" s="936"/>
      <c r="I394" s="936"/>
      <c r="J394" s="936"/>
      <c r="K394" s="936"/>
      <c r="L394" s="936"/>
      <c r="M394" s="936"/>
      <c r="N394" s="936"/>
      <c r="O394" s="936"/>
      <c r="P394" s="936"/>
      <c r="Q394" s="936"/>
    </row>
    <row r="395" spans="1:20" ht="14.25">
      <c r="B395" s="61" t="s">
        <v>254</v>
      </c>
      <c r="C395" s="35"/>
      <c r="D395" s="33"/>
      <c r="E395" s="33"/>
      <c r="F395" s="34"/>
      <c r="G395" s="33"/>
      <c r="H395" s="34"/>
      <c r="I395" s="922">
        <f>$I$382</f>
        <v>85849.45</v>
      </c>
      <c r="J395" s="922"/>
      <c r="K395" s="922"/>
      <c r="L395" s="64" t="s">
        <v>16</v>
      </c>
    </row>
    <row r="396" spans="1:20" ht="14.25">
      <c r="F396" s="8" t="s">
        <v>9</v>
      </c>
      <c r="G396" s="891">
        <v>77</v>
      </c>
      <c r="H396" s="891"/>
      <c r="I396" s="906" t="s">
        <v>17</v>
      </c>
      <c r="J396" s="907"/>
      <c r="R396" s="29" t="s">
        <v>0</v>
      </c>
      <c r="S396" s="16" t="s">
        <v>11</v>
      </c>
      <c r="T396" s="11">
        <f>ROUND(I395*G396,0)</f>
        <v>6610408</v>
      </c>
    </row>
    <row r="397" spans="1:20">
      <c r="F397" s="8"/>
      <c r="G397" s="17"/>
      <c r="H397" s="17"/>
      <c r="I397" s="9"/>
      <c r="J397" s="10"/>
      <c r="R397" s="29"/>
      <c r="S397" s="16"/>
      <c r="T397" s="11"/>
    </row>
    <row r="400" spans="1:20" ht="56.25" customHeight="1">
      <c r="A400" s="54" t="s">
        <v>178</v>
      </c>
      <c r="B400" s="936" t="s">
        <v>179</v>
      </c>
      <c r="C400" s="936"/>
      <c r="D400" s="936"/>
      <c r="E400" s="936"/>
      <c r="F400" s="936"/>
      <c r="G400" s="936"/>
      <c r="H400" s="936"/>
      <c r="I400" s="936"/>
      <c r="J400" s="936"/>
      <c r="K400" s="936"/>
      <c r="L400" s="936"/>
      <c r="M400" s="936"/>
      <c r="N400" s="936"/>
      <c r="O400" s="936"/>
      <c r="P400" s="936"/>
      <c r="Q400" s="936"/>
    </row>
    <row r="401" spans="1:20" ht="14.25">
      <c r="B401" s="61" t="s">
        <v>254</v>
      </c>
      <c r="C401" s="35"/>
      <c r="D401" s="33"/>
      <c r="E401" s="33"/>
      <c r="F401" s="34"/>
      <c r="G401" s="33"/>
      <c r="H401" s="34"/>
      <c r="I401" s="922">
        <f>$I$395</f>
        <v>85849.45</v>
      </c>
      <c r="J401" s="922"/>
      <c r="K401" s="922"/>
      <c r="L401" s="64" t="s">
        <v>16</v>
      </c>
    </row>
    <row r="402" spans="1:20" ht="14.25">
      <c r="F402" s="8" t="s">
        <v>9</v>
      </c>
      <c r="G402" s="891">
        <v>34</v>
      </c>
      <c r="H402" s="891"/>
      <c r="I402" s="906" t="s">
        <v>17</v>
      </c>
      <c r="J402" s="907"/>
      <c r="R402" s="29" t="s">
        <v>0</v>
      </c>
      <c r="S402" s="16" t="s">
        <v>11</v>
      </c>
      <c r="T402" s="11">
        <f>ROUND(I401*G402,0)</f>
        <v>2918881</v>
      </c>
    </row>
    <row r="403" spans="1:20">
      <c r="P403" s="13"/>
      <c r="Q403" s="13"/>
      <c r="R403" s="13"/>
      <c r="S403" s="13"/>
      <c r="T403" s="13"/>
    </row>
    <row r="404" spans="1:20">
      <c r="P404" s="3" t="s">
        <v>141</v>
      </c>
      <c r="Q404" s="3"/>
      <c r="R404" s="90" t="s">
        <v>0</v>
      </c>
      <c r="S404" s="58" t="s">
        <v>11</v>
      </c>
      <c r="T404" s="28">
        <f>SUM(T370:T403)</f>
        <v>30269099</v>
      </c>
    </row>
    <row r="405" spans="1:20">
      <c r="R405" s="29"/>
      <c r="S405" s="16"/>
    </row>
    <row r="406" spans="1:20">
      <c r="R406" s="29"/>
      <c r="S406" s="16"/>
    </row>
    <row r="411" spans="1:20">
      <c r="P411" s="3" t="s">
        <v>140</v>
      </c>
      <c r="Q411" s="3"/>
      <c r="R411" s="90" t="s">
        <v>0</v>
      </c>
      <c r="S411" s="58" t="s">
        <v>11</v>
      </c>
      <c r="T411" s="111">
        <f>$T$404</f>
        <v>30269099</v>
      </c>
    </row>
    <row r="412" spans="1:20" ht="27" customHeight="1">
      <c r="A412" s="55" t="s">
        <v>41</v>
      </c>
      <c r="B412" s="924" t="s">
        <v>211</v>
      </c>
      <c r="C412" s="924"/>
      <c r="D412" s="924"/>
      <c r="E412" s="924"/>
      <c r="F412" s="924"/>
      <c r="G412" s="924"/>
      <c r="H412" s="924"/>
      <c r="I412" s="924"/>
      <c r="J412" s="924"/>
      <c r="K412" s="924"/>
      <c r="L412" s="924"/>
      <c r="M412" s="924"/>
      <c r="N412" s="924"/>
      <c r="O412" s="924"/>
      <c r="P412" s="924"/>
      <c r="Q412" s="924"/>
    </row>
    <row r="413" spans="1:20" ht="15.75" customHeight="1">
      <c r="A413" s="16">
        <v>1.2</v>
      </c>
      <c r="B413" s="61" t="s">
        <v>42</v>
      </c>
      <c r="C413" s="61"/>
      <c r="D413" s="61"/>
      <c r="E413" s="61"/>
      <c r="F413" s="61"/>
      <c r="G413" s="61"/>
      <c r="H413" s="61"/>
      <c r="I413" s="61"/>
      <c r="J413" s="61"/>
      <c r="K413" s="62"/>
      <c r="L413" s="62"/>
      <c r="M413" s="62"/>
      <c r="N413" s="62"/>
      <c r="O413" s="51"/>
      <c r="P413" s="18"/>
    </row>
    <row r="414" spans="1:20" ht="15" customHeight="1">
      <c r="B414" s="3" t="s">
        <v>195</v>
      </c>
    </row>
    <row r="415" spans="1:20" ht="14.25">
      <c r="B415" t="s">
        <v>191</v>
      </c>
      <c r="L415" s="29" t="s">
        <v>0</v>
      </c>
      <c r="M415" s="885">
        <f>I353*50%</f>
        <v>1736.778</v>
      </c>
      <c r="N415" s="885"/>
      <c r="O415" s="885"/>
      <c r="P415" t="s">
        <v>7</v>
      </c>
    </row>
    <row r="416" spans="1:20" ht="14.25">
      <c r="B416" s="98" t="s">
        <v>189</v>
      </c>
      <c r="C416" s="94"/>
      <c r="D416" s="94"/>
      <c r="E416" s="94"/>
      <c r="F416" s="94"/>
      <c r="G416" s="94"/>
      <c r="H416" s="94"/>
      <c r="I416" s="94"/>
      <c r="J416" s="94"/>
      <c r="L416" s="29" t="s">
        <v>0</v>
      </c>
      <c r="M416" s="969">
        <v>6315.61</v>
      </c>
      <c r="N416" s="969"/>
      <c r="O416" s="969"/>
      <c r="P416" t="s">
        <v>7</v>
      </c>
    </row>
    <row r="417" spans="2:20" ht="14.25">
      <c r="B417" s="98" t="s">
        <v>182</v>
      </c>
      <c r="C417" s="94"/>
      <c r="D417" s="94"/>
      <c r="E417" s="94"/>
      <c r="F417" s="94"/>
      <c r="G417" s="94"/>
      <c r="H417" s="94"/>
      <c r="I417" s="94"/>
      <c r="J417" s="94"/>
      <c r="L417" s="29" t="s">
        <v>0</v>
      </c>
      <c r="M417" s="885">
        <v>15624.6</v>
      </c>
      <c r="N417" s="885"/>
      <c r="O417" s="885"/>
      <c r="P417" t="s">
        <v>7</v>
      </c>
    </row>
    <row r="418" spans="2:20">
      <c r="B418" t="s">
        <v>181</v>
      </c>
    </row>
    <row r="419" spans="2:20" ht="14.25">
      <c r="B419" t="s">
        <v>180</v>
      </c>
      <c r="I419" s="885">
        <f>$I$395</f>
        <v>85849.45</v>
      </c>
      <c r="J419" s="890"/>
      <c r="K419" s="890"/>
      <c r="L419" s="64" t="s">
        <v>16</v>
      </c>
    </row>
    <row r="420" spans="2:20" ht="14.25">
      <c r="B420" s="16" t="s">
        <v>183</v>
      </c>
      <c r="C420" t="s">
        <v>184</v>
      </c>
      <c r="L420" s="29" t="s">
        <v>0</v>
      </c>
      <c r="M420" s="890">
        <f>I419*0.018</f>
        <v>1545.2900999999999</v>
      </c>
      <c r="N420" s="890"/>
      <c r="O420" s="890"/>
      <c r="P420" t="s">
        <v>7</v>
      </c>
    </row>
    <row r="421" spans="2:20" ht="14.25">
      <c r="B421" s="16" t="s">
        <v>185</v>
      </c>
      <c r="C421" t="s">
        <v>186</v>
      </c>
      <c r="L421" s="29" t="s">
        <v>0</v>
      </c>
      <c r="M421" s="885">
        <f>I419*0.009</f>
        <v>772.64504999999997</v>
      </c>
      <c r="N421" s="885"/>
      <c r="O421" s="885"/>
      <c r="P421" t="s">
        <v>7</v>
      </c>
    </row>
    <row r="422" spans="2:20" ht="14.25">
      <c r="B422" s="16" t="s">
        <v>187</v>
      </c>
      <c r="C422" t="s">
        <v>188</v>
      </c>
      <c r="L422" s="29" t="s">
        <v>0</v>
      </c>
      <c r="M422" s="885">
        <f>I419*0.009</f>
        <v>772.64504999999997</v>
      </c>
      <c r="N422" s="885"/>
      <c r="O422" s="885"/>
      <c r="P422" t="s">
        <v>7</v>
      </c>
    </row>
    <row r="423" spans="2:20">
      <c r="B423" s="16"/>
      <c r="L423" s="29"/>
      <c r="M423" s="2"/>
      <c r="N423" s="2"/>
      <c r="O423" s="2"/>
    </row>
    <row r="425" spans="2:20">
      <c r="B425" s="3" t="s">
        <v>196</v>
      </c>
    </row>
    <row r="426" spans="2:20" ht="14.25">
      <c r="B426" t="s">
        <v>191</v>
      </c>
      <c r="L426" s="29" t="s">
        <v>0</v>
      </c>
      <c r="M426" s="885">
        <f>I364*50%</f>
        <v>3160.9359599999998</v>
      </c>
      <c r="N426" s="885"/>
      <c r="O426" s="885"/>
      <c r="P426" t="s">
        <v>7</v>
      </c>
    </row>
    <row r="427" spans="2:20" ht="14.25">
      <c r="B427" t="s">
        <v>192</v>
      </c>
      <c r="L427" s="29" t="s">
        <v>0</v>
      </c>
      <c r="M427" s="885">
        <f>M416*25%</f>
        <v>1578.9024999999999</v>
      </c>
      <c r="N427" s="885"/>
      <c r="O427" s="885"/>
      <c r="P427" t="s">
        <v>7</v>
      </c>
    </row>
    <row r="428" spans="2:20" ht="14.25">
      <c r="B428" t="s">
        <v>193</v>
      </c>
      <c r="J428" s="13"/>
      <c r="K428" s="13"/>
      <c r="L428" s="32" t="s">
        <v>0</v>
      </c>
      <c r="M428" s="965">
        <f>M417*25%</f>
        <v>3906.15</v>
      </c>
      <c r="N428" s="965"/>
      <c r="O428" s="965"/>
      <c r="P428" s="13" t="s">
        <v>7</v>
      </c>
    </row>
    <row r="429" spans="2:20" ht="14.25">
      <c r="J429" t="s">
        <v>194</v>
      </c>
      <c r="L429" s="29" t="s">
        <v>0</v>
      </c>
      <c r="M429" s="885">
        <f>SUM(M415:M428)</f>
        <v>35413.556659999995</v>
      </c>
      <c r="N429" s="890"/>
      <c r="O429" s="890"/>
      <c r="P429" t="s">
        <v>7</v>
      </c>
    </row>
    <row r="430" spans="2:20" ht="14.25">
      <c r="F430" s="8" t="s">
        <v>9</v>
      </c>
      <c r="G430" s="891">
        <v>53</v>
      </c>
      <c r="H430" s="891"/>
      <c r="I430" s="906" t="s">
        <v>10</v>
      </c>
      <c r="J430" s="907"/>
      <c r="R430" s="29" t="s">
        <v>0</v>
      </c>
      <c r="S430" s="16" t="s">
        <v>11</v>
      </c>
      <c r="T430" s="11">
        <f>ROUND(M429*G430,0)</f>
        <v>1876919</v>
      </c>
    </row>
    <row r="434" spans="1:16" ht="15" customHeight="1">
      <c r="A434">
        <v>1.3</v>
      </c>
      <c r="B434" t="s">
        <v>122</v>
      </c>
    </row>
    <row r="435" spans="1:16" ht="15" customHeight="1">
      <c r="B435" s="3" t="s">
        <v>124</v>
      </c>
    </row>
    <row r="436" spans="1:16">
      <c r="C436" s="907" t="s">
        <v>52</v>
      </c>
      <c r="D436" s="907"/>
      <c r="E436" s="907"/>
      <c r="F436" s="907"/>
      <c r="G436" s="907"/>
      <c r="H436" s="907"/>
      <c r="I436" s="907"/>
      <c r="J436" s="907"/>
      <c r="K436" s="907"/>
    </row>
    <row r="437" spans="1:16">
      <c r="C437" t="s">
        <v>53</v>
      </c>
      <c r="L437" s="17"/>
      <c r="M437" s="17"/>
      <c r="N437" s="17"/>
      <c r="O437" s="9"/>
      <c r="P437" s="10"/>
    </row>
    <row r="438" spans="1:16" ht="14.25">
      <c r="B438" t="s">
        <v>191</v>
      </c>
      <c r="L438" s="29" t="s">
        <v>0</v>
      </c>
      <c r="M438" s="885">
        <f>$M$415</f>
        <v>1736.778</v>
      </c>
      <c r="N438" s="885"/>
      <c r="O438" s="885"/>
      <c r="P438" t="s">
        <v>7</v>
      </c>
    </row>
    <row r="439" spans="1:16" ht="14.25">
      <c r="B439" s="98" t="s">
        <v>189</v>
      </c>
      <c r="C439" s="94"/>
      <c r="D439" s="94"/>
      <c r="E439" s="94"/>
      <c r="F439" s="94"/>
      <c r="G439" s="94"/>
      <c r="H439" s="94"/>
      <c r="I439" s="94"/>
      <c r="J439" s="94"/>
      <c r="L439" s="29" t="s">
        <v>0</v>
      </c>
      <c r="M439" s="969">
        <v>6315.61</v>
      </c>
      <c r="N439" s="969"/>
      <c r="O439" s="969"/>
      <c r="P439" t="s">
        <v>7</v>
      </c>
    </row>
    <row r="440" spans="1:16" ht="14.25">
      <c r="B440" s="98" t="s">
        <v>182</v>
      </c>
      <c r="C440" s="94"/>
      <c r="D440" s="94"/>
      <c r="E440" s="94"/>
      <c r="F440" s="94"/>
      <c r="G440" s="94"/>
      <c r="H440" s="94"/>
      <c r="I440" s="94"/>
      <c r="J440" s="94"/>
      <c r="L440" s="29" t="s">
        <v>0</v>
      </c>
      <c r="M440" s="885">
        <v>15624.6</v>
      </c>
      <c r="N440" s="885"/>
      <c r="O440" s="885"/>
      <c r="P440" t="s">
        <v>7</v>
      </c>
    </row>
    <row r="441" spans="1:16">
      <c r="B441" t="s">
        <v>181</v>
      </c>
    </row>
    <row r="442" spans="1:16" ht="14.25">
      <c r="B442" t="s">
        <v>180</v>
      </c>
      <c r="I442" s="885">
        <f>$I$395</f>
        <v>85849.45</v>
      </c>
      <c r="J442" s="890"/>
      <c r="K442" s="890"/>
      <c r="L442" s="64" t="s">
        <v>16</v>
      </c>
    </row>
    <row r="443" spans="1:16" ht="14.25">
      <c r="B443" s="16" t="s">
        <v>183</v>
      </c>
      <c r="C443" t="s">
        <v>184</v>
      </c>
      <c r="L443" s="29" t="s">
        <v>0</v>
      </c>
      <c r="M443" s="890">
        <f>I442*0.018</f>
        <v>1545.2900999999999</v>
      </c>
      <c r="N443" s="890"/>
      <c r="O443" s="890"/>
      <c r="P443" t="s">
        <v>7</v>
      </c>
    </row>
    <row r="444" spans="1:16" ht="14.25">
      <c r="B444" s="16" t="s">
        <v>185</v>
      </c>
      <c r="C444" t="s">
        <v>186</v>
      </c>
      <c r="L444" s="29" t="s">
        <v>0</v>
      </c>
      <c r="M444" s="885">
        <f>I442*0.009</f>
        <v>772.64504999999997</v>
      </c>
      <c r="N444" s="885"/>
      <c r="O444" s="885"/>
      <c r="P444" t="s">
        <v>7</v>
      </c>
    </row>
    <row r="445" spans="1:16" ht="14.25">
      <c r="B445" s="16" t="s">
        <v>187</v>
      </c>
      <c r="C445" t="s">
        <v>188</v>
      </c>
      <c r="J445" s="13"/>
      <c r="K445" s="13"/>
      <c r="L445" s="32" t="s">
        <v>0</v>
      </c>
      <c r="M445" s="965">
        <f>I442*0.009</f>
        <v>772.64504999999997</v>
      </c>
      <c r="N445" s="965"/>
      <c r="O445" s="965"/>
      <c r="P445" s="13" t="s">
        <v>7</v>
      </c>
    </row>
    <row r="446" spans="1:16" ht="14.25">
      <c r="J446" t="s">
        <v>194</v>
      </c>
      <c r="L446" s="29" t="s">
        <v>0</v>
      </c>
      <c r="M446" s="885">
        <f>SUM(M438:M445)</f>
        <v>26767.568199999998</v>
      </c>
      <c r="N446" s="890"/>
      <c r="O446" s="890"/>
      <c r="P446" t="s">
        <v>7</v>
      </c>
    </row>
    <row r="448" spans="1:16">
      <c r="B448" s="16" t="s">
        <v>197</v>
      </c>
      <c r="D448" s="888">
        <f>$M$446</f>
        <v>26767.568199999998</v>
      </c>
      <c r="E448" s="921"/>
      <c r="F448" s="921"/>
      <c r="G448" t="s">
        <v>1</v>
      </c>
      <c r="H448" s="7">
        <v>2.4</v>
      </c>
      <c r="I448" t="s">
        <v>1</v>
      </c>
      <c r="J448" s="20">
        <v>10</v>
      </c>
      <c r="K448" s="29" t="s">
        <v>0</v>
      </c>
      <c r="L448" s="885">
        <f>D448*H448*J448</f>
        <v>642421.63679999986</v>
      </c>
      <c r="M448" s="885"/>
      <c r="N448" s="885"/>
      <c r="O448" t="s">
        <v>58</v>
      </c>
    </row>
    <row r="449" spans="2:20">
      <c r="F449" s="8" t="s">
        <v>9</v>
      </c>
      <c r="G449" s="891">
        <v>3</v>
      </c>
      <c r="H449" s="891"/>
      <c r="I449" s="906" t="s">
        <v>59</v>
      </c>
      <c r="J449" s="907"/>
      <c r="R449" s="29" t="s">
        <v>0</v>
      </c>
      <c r="S449" s="16" t="s">
        <v>11</v>
      </c>
      <c r="T449" s="11">
        <f>ROUND(L448*G449,0)</f>
        <v>1927265</v>
      </c>
    </row>
    <row r="451" spans="2:20">
      <c r="B451" t="s">
        <v>198</v>
      </c>
    </row>
    <row r="452" spans="2:20">
      <c r="B452" s="16" t="s">
        <v>197</v>
      </c>
      <c r="D452" s="888">
        <f>$M$446</f>
        <v>26767.568199999998</v>
      </c>
      <c r="E452" s="921"/>
      <c r="F452" s="921"/>
      <c r="G452" t="s">
        <v>1</v>
      </c>
      <c r="H452" s="7">
        <v>2.4</v>
      </c>
      <c r="I452" t="s">
        <v>1</v>
      </c>
      <c r="J452" s="20">
        <v>1</v>
      </c>
      <c r="K452" s="29" t="s">
        <v>0</v>
      </c>
      <c r="L452" s="885">
        <f>D452*H452*J452</f>
        <v>64242.163679999991</v>
      </c>
      <c r="M452" s="885"/>
      <c r="N452" s="885"/>
      <c r="O452" t="s">
        <v>58</v>
      </c>
    </row>
    <row r="453" spans="2:20">
      <c r="F453" s="8" t="s">
        <v>9</v>
      </c>
      <c r="G453" s="891">
        <v>4.3</v>
      </c>
      <c r="H453" s="891"/>
      <c r="I453" s="906" t="s">
        <v>59</v>
      </c>
      <c r="J453" s="907"/>
      <c r="R453" s="29" t="s">
        <v>0</v>
      </c>
      <c r="S453" s="16" t="s">
        <v>11</v>
      </c>
      <c r="T453" s="11">
        <f>ROUND(L452*G453,0)</f>
        <v>276241</v>
      </c>
    </row>
    <row r="454" spans="2:20">
      <c r="P454" s="13"/>
      <c r="Q454" s="13"/>
      <c r="R454" s="13"/>
      <c r="S454" s="13"/>
      <c r="T454" s="13"/>
    </row>
    <row r="455" spans="2:20">
      <c r="P455" s="3" t="s">
        <v>141</v>
      </c>
      <c r="Q455" s="3"/>
      <c r="R455" s="90" t="s">
        <v>0</v>
      </c>
      <c r="S455" s="58" t="s">
        <v>11</v>
      </c>
      <c r="T455" s="28">
        <f>SUM(T411:T454)</f>
        <v>34349524</v>
      </c>
    </row>
    <row r="456" spans="2:20">
      <c r="R456" s="29"/>
      <c r="S456" s="16"/>
    </row>
    <row r="457" spans="2:20">
      <c r="R457" s="29"/>
      <c r="S457" s="16"/>
    </row>
    <row r="461" spans="2:20">
      <c r="P461" s="3" t="s">
        <v>140</v>
      </c>
      <c r="Q461" s="3"/>
      <c r="R461" s="90" t="s">
        <v>0</v>
      </c>
      <c r="S461" s="58" t="s">
        <v>11</v>
      </c>
      <c r="T461" s="111">
        <f>$T$455</f>
        <v>34349524</v>
      </c>
    </row>
    <row r="462" spans="2:20">
      <c r="B462" s="3" t="s">
        <v>190</v>
      </c>
    </row>
    <row r="463" spans="2:20">
      <c r="C463" s="890" t="s">
        <v>54</v>
      </c>
      <c r="D463" s="890"/>
      <c r="E463" s="890"/>
      <c r="F463" s="890"/>
      <c r="G463" s="890"/>
      <c r="H463" s="890"/>
      <c r="I463" s="890"/>
      <c r="J463" s="890"/>
      <c r="K463" s="890"/>
    </row>
    <row r="464" spans="2:20">
      <c r="C464" t="s">
        <v>55</v>
      </c>
    </row>
    <row r="465" spans="1:20" ht="14.25">
      <c r="B465" t="s">
        <v>191</v>
      </c>
      <c r="L465" s="29" t="s">
        <v>0</v>
      </c>
      <c r="M465" s="885">
        <f>I353*50%</f>
        <v>1736.778</v>
      </c>
      <c r="N465" s="885"/>
      <c r="O465" s="885"/>
      <c r="P465" t="s">
        <v>7</v>
      </c>
    </row>
    <row r="466" spans="1:20" ht="14.25">
      <c r="B466" t="s">
        <v>192</v>
      </c>
      <c r="L466" s="29" t="s">
        <v>0</v>
      </c>
      <c r="M466" s="885">
        <f>M416*25%</f>
        <v>1578.9024999999999</v>
      </c>
      <c r="N466" s="885"/>
      <c r="O466" s="885"/>
      <c r="P466" t="s">
        <v>7</v>
      </c>
    </row>
    <row r="467" spans="1:20" ht="14.25">
      <c r="B467" t="s">
        <v>193</v>
      </c>
      <c r="J467" s="13"/>
      <c r="K467" s="13"/>
      <c r="L467" s="32" t="s">
        <v>0</v>
      </c>
      <c r="M467" s="965">
        <f>M417*25%</f>
        <v>3906.15</v>
      </c>
      <c r="N467" s="965"/>
      <c r="O467" s="965"/>
      <c r="P467" s="13" t="s">
        <v>7</v>
      </c>
    </row>
    <row r="468" spans="1:20" ht="14.25">
      <c r="J468" t="s">
        <v>194</v>
      </c>
      <c r="L468" s="29" t="s">
        <v>0</v>
      </c>
      <c r="M468" s="885">
        <f>SUM(M449:M467)</f>
        <v>7221.8305</v>
      </c>
      <c r="N468" s="890"/>
      <c r="O468" s="890"/>
      <c r="P468" t="s">
        <v>7</v>
      </c>
    </row>
    <row r="470" spans="1:20">
      <c r="B470" s="16" t="s">
        <v>197</v>
      </c>
      <c r="D470" s="888">
        <f>$M$468</f>
        <v>7221.8305</v>
      </c>
      <c r="E470" s="921"/>
      <c r="F470" s="921"/>
      <c r="G470" t="s">
        <v>1</v>
      </c>
      <c r="H470" s="7">
        <v>1.84</v>
      </c>
      <c r="I470" t="s">
        <v>1</v>
      </c>
      <c r="J470" s="20">
        <v>14</v>
      </c>
      <c r="K470" s="29" t="s">
        <v>0</v>
      </c>
      <c r="L470" s="885">
        <f>D470*H470*J470</f>
        <v>186034.35368</v>
      </c>
      <c r="M470" s="885"/>
      <c r="N470" s="885"/>
      <c r="O470" t="s">
        <v>58</v>
      </c>
    </row>
    <row r="471" spans="1:20">
      <c r="F471" s="8" t="s">
        <v>9</v>
      </c>
      <c r="G471" s="891">
        <v>3</v>
      </c>
      <c r="H471" s="891"/>
      <c r="I471" s="906" t="s">
        <v>59</v>
      </c>
      <c r="J471" s="907"/>
      <c r="R471" s="29" t="s">
        <v>0</v>
      </c>
      <c r="S471" s="16" t="s">
        <v>11</v>
      </c>
      <c r="T471" s="11">
        <f>ROUND(L470*G471,0)</f>
        <v>558103</v>
      </c>
    </row>
    <row r="473" spans="1:20">
      <c r="B473" t="s">
        <v>198</v>
      </c>
    </row>
    <row r="474" spans="1:20">
      <c r="B474" s="16" t="s">
        <v>197</v>
      </c>
      <c r="D474" s="888">
        <f>$M$468</f>
        <v>7221.8305</v>
      </c>
      <c r="E474" s="921"/>
      <c r="F474" s="921"/>
      <c r="G474" t="s">
        <v>1</v>
      </c>
      <c r="H474" s="7">
        <v>1.54</v>
      </c>
      <c r="I474" t="s">
        <v>1</v>
      </c>
      <c r="J474" s="20">
        <v>1</v>
      </c>
      <c r="K474" s="29" t="s">
        <v>0</v>
      </c>
      <c r="L474" s="885">
        <f>D474*H474*J474</f>
        <v>11121.61897</v>
      </c>
      <c r="M474" s="885"/>
      <c r="N474" s="885"/>
      <c r="O474" t="s">
        <v>58</v>
      </c>
    </row>
    <row r="475" spans="1:20">
      <c r="F475" s="8" t="s">
        <v>9</v>
      </c>
      <c r="G475" s="891">
        <v>4.3</v>
      </c>
      <c r="H475" s="891"/>
      <c r="I475" s="906" t="s">
        <v>59</v>
      </c>
      <c r="J475" s="907"/>
      <c r="R475" s="29" t="s">
        <v>0</v>
      </c>
      <c r="S475" s="16" t="s">
        <v>11</v>
      </c>
      <c r="T475" s="11">
        <f>ROUND(L474*G475,0)</f>
        <v>47823</v>
      </c>
    </row>
    <row r="478" spans="1:20">
      <c r="A478" s="1" t="s">
        <v>199</v>
      </c>
      <c r="B478" t="s">
        <v>200</v>
      </c>
    </row>
    <row r="479" spans="1:20">
      <c r="B479" t="s">
        <v>201</v>
      </c>
    </row>
    <row r="480" spans="1:20" ht="14.25">
      <c r="B480" t="s">
        <v>202</v>
      </c>
      <c r="J480" s="29" t="s">
        <v>0</v>
      </c>
      <c r="K480" s="885">
        <f>$M$446</f>
        <v>26767.568199999998</v>
      </c>
      <c r="L480" s="890"/>
      <c r="M480" s="890"/>
      <c r="N480" t="s">
        <v>7</v>
      </c>
    </row>
    <row r="481" spans="2:20">
      <c r="F481" s="8" t="s">
        <v>9</v>
      </c>
      <c r="G481" s="891">
        <v>102</v>
      </c>
      <c r="H481" s="891"/>
      <c r="I481" s="102" t="s">
        <v>203</v>
      </c>
      <c r="J481" s="103"/>
      <c r="R481" s="29" t="s">
        <v>0</v>
      </c>
      <c r="S481" s="16" t="s">
        <v>11</v>
      </c>
      <c r="T481" s="11">
        <f>ROUND(K480*G481,0)</f>
        <v>2730292</v>
      </c>
    </row>
    <row r="483" spans="2:20">
      <c r="B483" t="s">
        <v>204</v>
      </c>
    </row>
    <row r="484" spans="2:20" ht="14.25">
      <c r="B484" t="s">
        <v>202</v>
      </c>
      <c r="J484" s="29" t="s">
        <v>0</v>
      </c>
      <c r="K484" s="885">
        <f>$M$468</f>
        <v>7221.8305</v>
      </c>
      <c r="L484" s="890"/>
      <c r="M484" s="890"/>
      <c r="N484" t="s">
        <v>7</v>
      </c>
    </row>
    <row r="485" spans="2:20">
      <c r="F485" s="8" t="s">
        <v>9</v>
      </c>
      <c r="G485" s="891">
        <v>40.799999999999997</v>
      </c>
      <c r="H485" s="891"/>
      <c r="I485" s="102" t="s">
        <v>203</v>
      </c>
      <c r="J485" s="103"/>
      <c r="R485" s="29" t="s">
        <v>0</v>
      </c>
      <c r="S485" s="16" t="s">
        <v>11</v>
      </c>
      <c r="T485" s="11">
        <f>ROUND(K484*G485,0)</f>
        <v>294651</v>
      </c>
    </row>
    <row r="486" spans="2:20">
      <c r="P486" s="13"/>
      <c r="Q486" s="13"/>
      <c r="R486" s="13"/>
      <c r="S486" s="13"/>
      <c r="T486" s="13"/>
    </row>
    <row r="487" spans="2:20" ht="18.75" customHeight="1">
      <c r="P487" s="112" t="s">
        <v>222</v>
      </c>
      <c r="Q487" s="112"/>
      <c r="R487" s="113" t="s">
        <v>0</v>
      </c>
      <c r="S487" s="114" t="s">
        <v>11</v>
      </c>
      <c r="T487" s="115">
        <f>SUM(T461:T486)</f>
        <v>37980393</v>
      </c>
    </row>
    <row r="488" spans="2:20">
      <c r="P488" s="3"/>
      <c r="Q488" s="3"/>
      <c r="R488" s="50"/>
      <c r="S488" s="49"/>
      <c r="T488" s="28"/>
    </row>
    <row r="489" spans="2:20">
      <c r="P489" s="3"/>
      <c r="Q489" s="3"/>
      <c r="R489" s="50"/>
      <c r="S489" s="49"/>
      <c r="T489" s="28"/>
    </row>
    <row r="490" spans="2:20">
      <c r="P490" s="3"/>
      <c r="Q490" s="3"/>
      <c r="R490" s="50"/>
      <c r="S490" s="49"/>
      <c r="T490" s="28"/>
    </row>
    <row r="491" spans="2:20">
      <c r="P491" s="3"/>
      <c r="Q491" s="3"/>
      <c r="R491" s="50"/>
      <c r="S491" s="49"/>
      <c r="T491" s="28"/>
    </row>
    <row r="492" spans="2:20">
      <c r="P492" s="3"/>
      <c r="Q492" s="3"/>
      <c r="R492" s="50"/>
      <c r="S492" s="49"/>
      <c r="T492" s="28"/>
    </row>
    <row r="493" spans="2:20">
      <c r="P493" s="3"/>
      <c r="Q493" s="3"/>
      <c r="R493" s="50"/>
      <c r="S493" s="49"/>
      <c r="T493" s="28"/>
    </row>
    <row r="494" spans="2:20">
      <c r="P494" s="3"/>
      <c r="Q494" s="3"/>
      <c r="R494" s="50"/>
      <c r="S494" s="49"/>
      <c r="T494" s="28"/>
    </row>
    <row r="495" spans="2:20">
      <c r="P495" s="3"/>
      <c r="Q495" s="3"/>
      <c r="R495" s="50"/>
      <c r="S495" s="49"/>
      <c r="T495" s="28"/>
    </row>
    <row r="496" spans="2:20">
      <c r="P496" s="3"/>
      <c r="Q496" s="3"/>
      <c r="R496" s="50"/>
      <c r="S496" s="49"/>
      <c r="T496" s="28"/>
    </row>
    <row r="497" spans="2:20">
      <c r="P497" s="3"/>
      <c r="Q497" s="3"/>
      <c r="R497" s="50"/>
      <c r="S497" s="49"/>
      <c r="T497" s="28"/>
    </row>
    <row r="498" spans="2:20">
      <c r="P498" s="3"/>
      <c r="Q498" s="3"/>
      <c r="R498" s="50"/>
      <c r="S498" s="49"/>
      <c r="T498" s="28"/>
    </row>
    <row r="499" spans="2:20">
      <c r="P499" s="3"/>
      <c r="Q499" s="3"/>
      <c r="R499" s="50"/>
      <c r="S499" s="49"/>
      <c r="T499" s="28"/>
    </row>
    <row r="500" spans="2:20">
      <c r="P500" s="3"/>
      <c r="Q500" s="3"/>
      <c r="R500" s="50"/>
      <c r="S500" s="49"/>
      <c r="T500" s="28"/>
    </row>
    <row r="501" spans="2:20">
      <c r="P501" s="3"/>
      <c r="Q501" s="3"/>
      <c r="R501" s="50"/>
      <c r="S501" s="49"/>
      <c r="T501" s="28"/>
    </row>
    <row r="508" spans="2:20">
      <c r="B508" t="s">
        <v>229</v>
      </c>
      <c r="O508" t="s">
        <v>226</v>
      </c>
    </row>
    <row r="509" spans="2:20">
      <c r="B509" t="s">
        <v>230</v>
      </c>
      <c r="O509" t="s">
        <v>227</v>
      </c>
    </row>
    <row r="510" spans="2:20">
      <c r="B510" t="s">
        <v>231</v>
      </c>
      <c r="O510" t="s">
        <v>228</v>
      </c>
    </row>
    <row r="515" spans="1:20">
      <c r="P515" s="3" t="s">
        <v>263</v>
      </c>
    </row>
    <row r="516" spans="1:20" ht="30.75" customHeight="1">
      <c r="B516" s="978" t="s">
        <v>205</v>
      </c>
      <c r="C516" s="978"/>
      <c r="D516" s="978"/>
      <c r="E516" s="978"/>
      <c r="F516" s="978"/>
      <c r="G516" s="978"/>
      <c r="H516" s="978"/>
      <c r="I516" s="978"/>
      <c r="J516" s="978"/>
      <c r="K516" s="978"/>
      <c r="L516" s="978"/>
      <c r="M516" s="978"/>
      <c r="N516" s="978"/>
      <c r="O516" s="978"/>
      <c r="P516" s="978"/>
      <c r="Q516" s="978"/>
      <c r="R516" s="978"/>
      <c r="S516" s="978"/>
    </row>
    <row r="517" spans="1:20" ht="6.75" customHeight="1">
      <c r="B517" s="108"/>
      <c r="C517" s="108"/>
      <c r="D517" s="108"/>
      <c r="E517" s="108"/>
      <c r="F517" s="108"/>
      <c r="G517" s="108"/>
      <c r="H517" s="108"/>
      <c r="I517" s="108"/>
      <c r="J517" s="108"/>
      <c r="K517" s="108"/>
      <c r="L517" s="108"/>
      <c r="M517" s="108"/>
      <c r="N517" s="108"/>
      <c r="O517" s="108"/>
      <c r="P517" s="108"/>
      <c r="Q517" s="108"/>
      <c r="R517" s="108"/>
      <c r="S517" s="108"/>
    </row>
    <row r="518" spans="1:20" ht="45" customHeight="1">
      <c r="B518" s="975" t="s">
        <v>256</v>
      </c>
      <c r="C518" s="975"/>
      <c r="D518" s="975"/>
      <c r="E518" s="975"/>
      <c r="F518" s="975"/>
      <c r="G518" s="975"/>
      <c r="H518" s="975"/>
      <c r="I518" s="975"/>
      <c r="J518" s="975"/>
      <c r="K518" s="975"/>
      <c r="L518" s="975"/>
      <c r="M518" s="975"/>
      <c r="N518" s="975"/>
      <c r="O518" s="975"/>
      <c r="P518" s="975"/>
      <c r="Q518" s="975"/>
      <c r="R518" s="975"/>
      <c r="S518" s="975"/>
    </row>
    <row r="520" spans="1:20">
      <c r="A520" s="972" t="s">
        <v>154</v>
      </c>
      <c r="B520" s="973" t="s">
        <v>144</v>
      </c>
      <c r="C520" s="974"/>
      <c r="D520" s="974"/>
      <c r="E520" s="974"/>
      <c r="F520" s="974"/>
      <c r="G520" s="974"/>
      <c r="H520" s="974"/>
      <c r="I520" s="974"/>
      <c r="J520" s="974"/>
      <c r="K520" s="974"/>
      <c r="L520" s="974"/>
      <c r="M520" s="974"/>
      <c r="N520" s="974"/>
      <c r="O520" s="974"/>
      <c r="P520" s="974"/>
      <c r="Q520" s="974"/>
      <c r="R520" s="59"/>
      <c r="S520" s="59"/>
      <c r="T520" s="59"/>
    </row>
    <row r="521" spans="1:20" ht="60.75" customHeight="1">
      <c r="A521" s="972"/>
      <c r="B521" s="936" t="s">
        <v>145</v>
      </c>
      <c r="C521" s="936"/>
      <c r="D521" s="936"/>
      <c r="E521" s="936"/>
      <c r="F521" s="936"/>
      <c r="G521" s="936"/>
      <c r="H521" s="936"/>
      <c r="I521" s="936"/>
      <c r="J521" s="936"/>
      <c r="K521" s="936"/>
      <c r="L521" s="936"/>
      <c r="M521" s="936"/>
      <c r="N521" s="936"/>
      <c r="O521" s="936"/>
      <c r="P521" s="936"/>
      <c r="Q521" s="936"/>
    </row>
    <row r="522" spans="1:20">
      <c r="A522" s="52"/>
      <c r="B522" s="908" t="s">
        <v>153</v>
      </c>
      <c r="C522" s="908"/>
      <c r="D522" s="908"/>
      <c r="E522" s="908"/>
      <c r="F522" s="908"/>
      <c r="G522" s="908"/>
      <c r="H522" s="908"/>
      <c r="I522" s="908"/>
      <c r="J522" s="908"/>
      <c r="K522" s="908"/>
      <c r="L522" s="908"/>
      <c r="M522" s="908"/>
      <c r="N522" s="908"/>
      <c r="O522" s="908"/>
      <c r="P522" s="908"/>
      <c r="Q522" s="908"/>
    </row>
    <row r="523" spans="1:20" ht="14.25">
      <c r="B523" t="s">
        <v>207</v>
      </c>
      <c r="C523" s="29" t="s">
        <v>0</v>
      </c>
      <c r="D523">
        <v>2</v>
      </c>
      <c r="E523" t="s">
        <v>1</v>
      </c>
      <c r="F523" s="890">
        <v>15.518000000000001</v>
      </c>
      <c r="G523" s="890"/>
      <c r="H523" s="21" t="s">
        <v>206</v>
      </c>
      <c r="J523" s="2"/>
      <c r="K523" s="2"/>
      <c r="L523" s="29" t="s">
        <v>0</v>
      </c>
      <c r="M523" s="885">
        <f>D523*F523*1000*0.75</f>
        <v>23277</v>
      </c>
      <c r="N523" s="885"/>
      <c r="O523" s="885"/>
      <c r="P523" t="s">
        <v>16</v>
      </c>
    </row>
    <row r="524" spans="1:20">
      <c r="B524" t="s">
        <v>208</v>
      </c>
    </row>
    <row r="525" spans="1:20" ht="14.25">
      <c r="C525" s="29"/>
      <c r="E525" s="29" t="s">
        <v>0</v>
      </c>
      <c r="F525" s="20">
        <v>2</v>
      </c>
      <c r="G525" t="s">
        <v>1</v>
      </c>
      <c r="H525" s="24">
        <v>33</v>
      </c>
      <c r="I525" s="13" t="s">
        <v>1</v>
      </c>
      <c r="J525" s="12">
        <v>0.75</v>
      </c>
      <c r="K525" s="12"/>
      <c r="L525" s="32" t="s">
        <v>0</v>
      </c>
      <c r="M525" s="965">
        <f>F525*H525*J525</f>
        <v>49.5</v>
      </c>
      <c r="N525" s="965"/>
      <c r="O525" s="965"/>
      <c r="P525" s="13" t="s">
        <v>16</v>
      </c>
    </row>
    <row r="526" spans="1:20" ht="14.25">
      <c r="H526" t="s">
        <v>209</v>
      </c>
      <c r="L526" s="29" t="s">
        <v>0</v>
      </c>
      <c r="M526" s="885">
        <f>M523-M525</f>
        <v>23227.5</v>
      </c>
      <c r="N526" s="890"/>
      <c r="O526" s="890"/>
      <c r="P526" t="s">
        <v>16</v>
      </c>
    </row>
    <row r="527" spans="1:20" ht="14.25">
      <c r="B527" t="s">
        <v>210</v>
      </c>
      <c r="L527" s="29" t="s">
        <v>0</v>
      </c>
      <c r="M527" s="890">
        <f>M526*0.1</f>
        <v>2322.75</v>
      </c>
      <c r="N527" s="890"/>
      <c r="O527" s="890"/>
      <c r="P527" t="s">
        <v>7</v>
      </c>
    </row>
    <row r="528" spans="1:20" ht="14.25">
      <c r="F528" s="8" t="s">
        <v>9</v>
      </c>
      <c r="G528" s="891">
        <v>540</v>
      </c>
      <c r="H528" s="891"/>
      <c r="I528" s="906" t="s">
        <v>10</v>
      </c>
      <c r="J528" s="907"/>
      <c r="R528" s="29" t="s">
        <v>0</v>
      </c>
      <c r="S528" s="16" t="s">
        <v>11</v>
      </c>
      <c r="T528" s="11">
        <f>ROUND(M527*G528,0)</f>
        <v>1254285</v>
      </c>
    </row>
    <row r="529" spans="1:20">
      <c r="F529" s="8"/>
      <c r="G529" s="17"/>
      <c r="H529" s="17"/>
      <c r="I529" s="9"/>
      <c r="J529" s="10"/>
      <c r="R529" s="29"/>
      <c r="S529" s="16"/>
      <c r="T529" s="11"/>
    </row>
    <row r="532" spans="1:20" ht="27.75" customHeight="1">
      <c r="A532" s="55" t="s">
        <v>212</v>
      </c>
      <c r="B532" s="924" t="s">
        <v>211</v>
      </c>
      <c r="C532" s="924"/>
      <c r="D532" s="924"/>
      <c r="E532" s="924"/>
      <c r="F532" s="924"/>
      <c r="G532" s="924"/>
      <c r="H532" s="924"/>
      <c r="I532" s="924"/>
      <c r="J532" s="924"/>
      <c r="K532" s="924"/>
      <c r="L532" s="924"/>
      <c r="M532" s="924"/>
      <c r="N532" s="924"/>
      <c r="O532" s="924"/>
      <c r="P532" s="924"/>
      <c r="Q532" s="924"/>
    </row>
    <row r="533" spans="1:20" ht="15" customHeight="1">
      <c r="A533" s="16">
        <v>1.2</v>
      </c>
      <c r="B533" s="61" t="s">
        <v>42</v>
      </c>
      <c r="C533" s="61"/>
      <c r="D533" s="61"/>
      <c r="E533" s="61"/>
      <c r="F533" s="61"/>
      <c r="G533" s="61"/>
      <c r="H533" s="61"/>
      <c r="I533" s="61"/>
      <c r="J533" s="61"/>
      <c r="K533" s="62"/>
      <c r="L533" s="62"/>
      <c r="M533" s="62"/>
      <c r="N533" s="62"/>
      <c r="O533" s="51"/>
      <c r="P533" s="18"/>
    </row>
    <row r="534" spans="1:20" ht="15" customHeight="1">
      <c r="B534" s="3" t="s">
        <v>195</v>
      </c>
    </row>
    <row r="535" spans="1:20" ht="14.25">
      <c r="B535" t="s">
        <v>213</v>
      </c>
      <c r="L535" s="29" t="s">
        <v>0</v>
      </c>
      <c r="M535" s="885">
        <f>M527*50%</f>
        <v>1161.375</v>
      </c>
      <c r="N535" s="885"/>
      <c r="O535" s="885"/>
      <c r="P535" t="s">
        <v>7</v>
      </c>
    </row>
    <row r="537" spans="1:20">
      <c r="B537" s="3" t="s">
        <v>196</v>
      </c>
    </row>
    <row r="538" spans="1:20" ht="14.25">
      <c r="B538" t="s">
        <v>191</v>
      </c>
      <c r="J538" s="13"/>
      <c r="K538" s="13"/>
      <c r="L538" s="32" t="s">
        <v>0</v>
      </c>
      <c r="M538" s="965">
        <f>M527*50%</f>
        <v>1161.375</v>
      </c>
      <c r="N538" s="965"/>
      <c r="O538" s="965"/>
      <c r="P538" s="13" t="s">
        <v>7</v>
      </c>
    </row>
    <row r="539" spans="1:20" ht="14.25">
      <c r="J539" t="s">
        <v>194</v>
      </c>
      <c r="L539" s="29" t="s">
        <v>0</v>
      </c>
      <c r="M539" s="885">
        <f>SUM(M535:M538)</f>
        <v>2322.75</v>
      </c>
      <c r="N539" s="890"/>
      <c r="O539" s="890"/>
      <c r="P539" t="s">
        <v>7</v>
      </c>
    </row>
    <row r="540" spans="1:20" ht="14.25">
      <c r="F540" s="8" t="s">
        <v>9</v>
      </c>
      <c r="G540" s="891">
        <v>53</v>
      </c>
      <c r="H540" s="891"/>
      <c r="I540" s="906" t="s">
        <v>10</v>
      </c>
      <c r="J540" s="907"/>
      <c r="R540" s="29" t="s">
        <v>0</v>
      </c>
      <c r="S540" s="16" t="s">
        <v>11</v>
      </c>
      <c r="T540" s="11">
        <f>ROUND(M539*G540,0)</f>
        <v>123106</v>
      </c>
    </row>
    <row r="541" spans="1:20">
      <c r="F541" s="8"/>
      <c r="G541" s="17"/>
      <c r="H541" s="17"/>
      <c r="I541" s="9"/>
      <c r="J541" s="10"/>
      <c r="R541" s="29"/>
      <c r="S541" s="16"/>
      <c r="T541" s="11"/>
    </row>
    <row r="544" spans="1:20">
      <c r="A544">
        <v>1.3</v>
      </c>
      <c r="B544" t="s">
        <v>122</v>
      </c>
    </row>
    <row r="545" spans="2:20">
      <c r="B545" s="3" t="s">
        <v>124</v>
      </c>
    </row>
    <row r="546" spans="2:20">
      <c r="C546" s="907" t="s">
        <v>52</v>
      </c>
      <c r="D546" s="907"/>
      <c r="E546" s="907"/>
      <c r="F546" s="907"/>
      <c r="G546" s="907"/>
      <c r="H546" s="907"/>
      <c r="I546" s="907"/>
      <c r="J546" s="907"/>
      <c r="K546" s="907"/>
    </row>
    <row r="547" spans="2:20">
      <c r="C547" t="s">
        <v>53</v>
      </c>
      <c r="L547" s="17"/>
      <c r="M547" s="17"/>
      <c r="N547" s="17"/>
      <c r="O547" s="9"/>
      <c r="P547" s="10"/>
    </row>
    <row r="548" spans="2:20" ht="14.25">
      <c r="B548" t="s">
        <v>213</v>
      </c>
      <c r="L548" s="29" t="s">
        <v>0</v>
      </c>
      <c r="M548" s="885">
        <f>$M$535</f>
        <v>1161.375</v>
      </c>
      <c r="N548" s="885"/>
      <c r="O548" s="885"/>
      <c r="P548" t="s">
        <v>7</v>
      </c>
    </row>
    <row r="549" spans="2:20">
      <c r="B549" s="16" t="s">
        <v>197</v>
      </c>
      <c r="D549" s="888">
        <f>$M$548</f>
        <v>1161.375</v>
      </c>
      <c r="E549" s="921"/>
      <c r="F549" s="921"/>
      <c r="G549" t="s">
        <v>1</v>
      </c>
      <c r="H549" s="7">
        <v>2.4</v>
      </c>
      <c r="I549" t="s">
        <v>1</v>
      </c>
      <c r="J549" s="20">
        <v>10</v>
      </c>
      <c r="K549" s="29" t="s">
        <v>0</v>
      </c>
      <c r="L549" s="885">
        <f>D549*H549*J549</f>
        <v>27872.999999999996</v>
      </c>
      <c r="M549" s="885"/>
      <c r="N549" s="885"/>
      <c r="O549" t="s">
        <v>58</v>
      </c>
    </row>
    <row r="550" spans="2:20">
      <c r="F550" s="8" t="s">
        <v>9</v>
      </c>
      <c r="G550" s="891">
        <v>3</v>
      </c>
      <c r="H550" s="891"/>
      <c r="I550" s="906" t="s">
        <v>59</v>
      </c>
      <c r="J550" s="907"/>
      <c r="R550" s="29" t="s">
        <v>0</v>
      </c>
      <c r="S550" s="16" t="s">
        <v>11</v>
      </c>
      <c r="T550" s="11">
        <f>ROUND(L549*G550,0)</f>
        <v>83619</v>
      </c>
    </row>
    <row r="552" spans="2:20">
      <c r="B552" t="s">
        <v>198</v>
      </c>
    </row>
    <row r="553" spans="2:20">
      <c r="B553" s="16" t="s">
        <v>197</v>
      </c>
      <c r="D553" s="888">
        <f>$M$548</f>
        <v>1161.375</v>
      </c>
      <c r="E553" s="921"/>
      <c r="F553" s="921"/>
      <c r="G553" t="s">
        <v>1</v>
      </c>
      <c r="H553" s="7">
        <v>2.4</v>
      </c>
      <c r="I553" t="s">
        <v>1</v>
      </c>
      <c r="J553" s="20">
        <v>1</v>
      </c>
      <c r="K553" s="29" t="s">
        <v>0</v>
      </c>
      <c r="L553" s="885">
        <f>D553*H553*J553</f>
        <v>2787.2999999999997</v>
      </c>
      <c r="M553" s="885"/>
      <c r="N553" s="885"/>
      <c r="O553" t="s">
        <v>58</v>
      </c>
    </row>
    <row r="554" spans="2:20">
      <c r="F554" s="8" t="s">
        <v>9</v>
      </c>
      <c r="G554" s="891">
        <v>4.3</v>
      </c>
      <c r="H554" s="891"/>
      <c r="I554" s="906" t="s">
        <v>59</v>
      </c>
      <c r="J554" s="907"/>
      <c r="R554" s="29" t="s">
        <v>0</v>
      </c>
      <c r="S554" s="16" t="s">
        <v>11</v>
      </c>
      <c r="T554" s="11">
        <f>ROUND(L553*G554,0)</f>
        <v>11985</v>
      </c>
    </row>
    <row r="555" spans="2:20">
      <c r="P555" s="13"/>
      <c r="Q555" s="13"/>
      <c r="R555" s="13"/>
      <c r="S555" s="13"/>
      <c r="T555" s="13"/>
    </row>
    <row r="556" spans="2:20">
      <c r="P556" s="3" t="s">
        <v>141</v>
      </c>
      <c r="Q556" s="3"/>
      <c r="R556" s="90" t="s">
        <v>0</v>
      </c>
      <c r="S556" s="58" t="s">
        <v>11</v>
      </c>
      <c r="T556" s="28">
        <f>SUM(T528:T555)</f>
        <v>1472995</v>
      </c>
    </row>
    <row r="557" spans="2:20">
      <c r="R557" s="29"/>
      <c r="S557" s="16"/>
    </row>
    <row r="558" spans="2:20">
      <c r="R558" s="29"/>
      <c r="S558" s="16"/>
    </row>
    <row r="560" spans="2:20">
      <c r="P560" s="3" t="s">
        <v>140</v>
      </c>
      <c r="Q560" s="3"/>
      <c r="R560" s="90" t="s">
        <v>0</v>
      </c>
      <c r="S560" s="58" t="s">
        <v>11</v>
      </c>
      <c r="T560" s="28">
        <f>$T$556</f>
        <v>1472995</v>
      </c>
    </row>
    <row r="561" spans="1:20">
      <c r="B561" s="3" t="s">
        <v>190</v>
      </c>
    </row>
    <row r="562" spans="1:20">
      <c r="C562" s="890" t="s">
        <v>54</v>
      </c>
      <c r="D562" s="890"/>
      <c r="E562" s="890"/>
      <c r="F562" s="890"/>
      <c r="G562" s="890"/>
      <c r="H562" s="890"/>
      <c r="I562" s="890"/>
      <c r="J562" s="890"/>
      <c r="K562" s="890"/>
    </row>
    <row r="563" spans="1:20">
      <c r="C563" t="s">
        <v>55</v>
      </c>
    </row>
    <row r="564" spans="1:20" ht="14.25">
      <c r="B564" t="s">
        <v>191</v>
      </c>
      <c r="L564" s="29" t="s">
        <v>0</v>
      </c>
      <c r="M564" s="885">
        <f>$M$538</f>
        <v>1161.375</v>
      </c>
      <c r="N564" s="885"/>
      <c r="O564" s="885"/>
      <c r="P564" t="s">
        <v>7</v>
      </c>
    </row>
    <row r="565" spans="1:20">
      <c r="B565" s="16" t="s">
        <v>197</v>
      </c>
      <c r="D565" s="888">
        <f>$M$538</f>
        <v>1161.375</v>
      </c>
      <c r="E565" s="921"/>
      <c r="F565" s="921"/>
      <c r="G565" t="s">
        <v>1</v>
      </c>
      <c r="H565" s="7">
        <v>1.84</v>
      </c>
      <c r="I565" t="s">
        <v>1</v>
      </c>
      <c r="J565" s="20">
        <v>14</v>
      </c>
      <c r="K565" s="29" t="s">
        <v>0</v>
      </c>
      <c r="L565" s="885">
        <f>D565*H565*J565</f>
        <v>29917.020000000004</v>
      </c>
      <c r="M565" s="885"/>
      <c r="N565" s="885"/>
      <c r="O565" t="s">
        <v>58</v>
      </c>
    </row>
    <row r="566" spans="1:20">
      <c r="F566" s="8" t="s">
        <v>9</v>
      </c>
      <c r="G566" s="891">
        <v>3</v>
      </c>
      <c r="H566" s="891"/>
      <c r="I566" s="906" t="s">
        <v>59</v>
      </c>
      <c r="J566" s="907"/>
      <c r="R566" s="29" t="s">
        <v>0</v>
      </c>
      <c r="S566" s="16" t="s">
        <v>11</v>
      </c>
      <c r="T566" s="11">
        <f>ROUND(L565*G566,0)</f>
        <v>89751</v>
      </c>
    </row>
    <row r="568" spans="1:20">
      <c r="B568" t="s">
        <v>198</v>
      </c>
    </row>
    <row r="569" spans="1:20">
      <c r="B569" s="16" t="s">
        <v>197</v>
      </c>
      <c r="D569" s="888">
        <f>$M$538</f>
        <v>1161.375</v>
      </c>
      <c r="E569" s="921"/>
      <c r="F569" s="921"/>
      <c r="G569" t="s">
        <v>1</v>
      </c>
      <c r="H569" s="7">
        <v>1.84</v>
      </c>
      <c r="I569" t="s">
        <v>1</v>
      </c>
      <c r="J569" s="20">
        <v>1</v>
      </c>
      <c r="K569" s="29" t="s">
        <v>0</v>
      </c>
      <c r="L569" s="885">
        <f>D569*H569*J569</f>
        <v>2136.9300000000003</v>
      </c>
      <c r="M569" s="885"/>
      <c r="N569" s="885"/>
      <c r="O569" t="s">
        <v>58</v>
      </c>
    </row>
    <row r="570" spans="1:20">
      <c r="F570" s="8" t="s">
        <v>9</v>
      </c>
      <c r="G570" s="891">
        <v>4.3</v>
      </c>
      <c r="H570" s="891"/>
      <c r="I570" s="906" t="s">
        <v>59</v>
      </c>
      <c r="J570" s="907"/>
      <c r="R570" s="29" t="s">
        <v>0</v>
      </c>
      <c r="S570" s="16" t="s">
        <v>11</v>
      </c>
      <c r="T570" s="11">
        <f>ROUND(L569*G570,0)</f>
        <v>9189</v>
      </c>
    </row>
    <row r="573" spans="1:20">
      <c r="A573" s="1" t="s">
        <v>199</v>
      </c>
      <c r="B573" t="s">
        <v>200</v>
      </c>
    </row>
    <row r="574" spans="1:20">
      <c r="B574" t="s">
        <v>201</v>
      </c>
    </row>
    <row r="575" spans="1:20" ht="14.25">
      <c r="B575" t="s">
        <v>202</v>
      </c>
      <c r="J575" s="29" t="s">
        <v>0</v>
      </c>
      <c r="K575" s="885">
        <f>$M$535</f>
        <v>1161.375</v>
      </c>
      <c r="L575" s="890"/>
      <c r="M575" s="890"/>
      <c r="N575" t="s">
        <v>7</v>
      </c>
    </row>
    <row r="576" spans="1:20">
      <c r="F576" s="8" t="s">
        <v>9</v>
      </c>
      <c r="G576" s="891">
        <v>102</v>
      </c>
      <c r="H576" s="891"/>
      <c r="I576" s="102" t="s">
        <v>203</v>
      </c>
      <c r="J576" s="103"/>
      <c r="R576" s="29" t="s">
        <v>0</v>
      </c>
      <c r="S576" s="16" t="s">
        <v>11</v>
      </c>
      <c r="T576" s="11">
        <f>ROUND(K575*G576,0)</f>
        <v>118460</v>
      </c>
    </row>
    <row r="578" spans="2:20">
      <c r="B578" t="s">
        <v>204</v>
      </c>
    </row>
    <row r="579" spans="2:20" ht="14.25">
      <c r="B579" t="s">
        <v>202</v>
      </c>
      <c r="J579" s="29" t="s">
        <v>0</v>
      </c>
      <c r="K579" s="885">
        <f>$M$535</f>
        <v>1161.375</v>
      </c>
      <c r="L579" s="890"/>
      <c r="M579" s="890"/>
      <c r="N579" t="s">
        <v>7</v>
      </c>
    </row>
    <row r="580" spans="2:20">
      <c r="F580" s="8" t="s">
        <v>9</v>
      </c>
      <c r="G580" s="891">
        <v>40.799999999999997</v>
      </c>
      <c r="H580" s="891"/>
      <c r="I580" s="102" t="s">
        <v>203</v>
      </c>
      <c r="J580" s="103"/>
      <c r="R580" s="29" t="s">
        <v>0</v>
      </c>
      <c r="S580" s="16" t="s">
        <v>11</v>
      </c>
      <c r="T580" s="11">
        <f>ROUND(K579*G580,0)</f>
        <v>47384</v>
      </c>
    </row>
    <row r="581" spans="2:20">
      <c r="P581" s="13"/>
      <c r="Q581" s="13"/>
      <c r="R581" s="13"/>
      <c r="S581" s="13"/>
      <c r="T581" s="13"/>
    </row>
    <row r="582" spans="2:20" ht="19.5" customHeight="1">
      <c r="P582" s="112" t="s">
        <v>222</v>
      </c>
      <c r="Q582" s="112"/>
      <c r="R582" s="113" t="s">
        <v>0</v>
      </c>
      <c r="S582" s="114" t="s">
        <v>11</v>
      </c>
      <c r="T582" s="115">
        <f>SUM(T560:T581)</f>
        <v>1737779</v>
      </c>
    </row>
    <row r="583" spans="2:20">
      <c r="P583" s="3"/>
      <c r="Q583" s="3"/>
      <c r="R583" s="50"/>
      <c r="S583" s="49"/>
      <c r="T583" s="28"/>
    </row>
    <row r="584" spans="2:20">
      <c r="P584" s="3"/>
      <c r="Q584" s="3"/>
      <c r="R584" s="50"/>
      <c r="S584" s="49"/>
      <c r="T584" s="28"/>
    </row>
    <row r="585" spans="2:20">
      <c r="P585" s="3"/>
      <c r="Q585" s="3"/>
      <c r="R585" s="50"/>
      <c r="S585" s="49"/>
      <c r="T585" s="28"/>
    </row>
    <row r="586" spans="2:20">
      <c r="P586" s="3"/>
      <c r="Q586" s="3"/>
      <c r="R586" s="50"/>
      <c r="S586" s="49"/>
      <c r="T586" s="28"/>
    </row>
    <row r="587" spans="2:20">
      <c r="P587" s="3"/>
      <c r="Q587" s="3"/>
      <c r="R587" s="50"/>
      <c r="S587" s="49"/>
      <c r="T587" s="28"/>
    </row>
    <row r="588" spans="2:20">
      <c r="P588" s="3"/>
      <c r="Q588" s="3"/>
      <c r="R588" s="50"/>
      <c r="S588" s="49"/>
      <c r="T588" s="28"/>
    </row>
    <row r="589" spans="2:20">
      <c r="P589" s="3"/>
      <c r="Q589" s="3"/>
      <c r="R589" s="50"/>
      <c r="S589" s="49"/>
      <c r="T589" s="28"/>
    </row>
    <row r="590" spans="2:20">
      <c r="P590" s="3"/>
      <c r="Q590" s="3"/>
      <c r="R590" s="50"/>
      <c r="S590" s="49"/>
      <c r="T590" s="28"/>
    </row>
    <row r="591" spans="2:20">
      <c r="P591" s="3"/>
      <c r="Q591" s="3"/>
      <c r="R591" s="50"/>
      <c r="S591" s="49"/>
      <c r="T591" s="28"/>
    </row>
    <row r="592" spans="2:20">
      <c r="P592" s="3"/>
      <c r="Q592" s="3"/>
      <c r="R592" s="50"/>
      <c r="S592" s="49"/>
      <c r="T592" s="28"/>
    </row>
    <row r="593" spans="2:20">
      <c r="P593" s="3"/>
      <c r="Q593" s="3"/>
      <c r="R593" s="50"/>
      <c r="S593" s="49"/>
      <c r="T593" s="28"/>
    </row>
    <row r="594" spans="2:20">
      <c r="P594" s="3"/>
      <c r="Q594" s="3"/>
      <c r="R594" s="50"/>
      <c r="S594" s="49"/>
      <c r="T594" s="28"/>
    </row>
    <row r="595" spans="2:20">
      <c r="P595" s="3"/>
      <c r="Q595" s="3"/>
      <c r="R595" s="50"/>
      <c r="S595" s="49"/>
      <c r="T595" s="28"/>
    </row>
    <row r="596" spans="2:20">
      <c r="P596" s="3"/>
      <c r="Q596" s="3"/>
      <c r="R596" s="50"/>
      <c r="S596" s="49"/>
      <c r="T596" s="28"/>
    </row>
    <row r="603" spans="2:20">
      <c r="B603" t="s">
        <v>229</v>
      </c>
      <c r="O603" t="s">
        <v>226</v>
      </c>
    </row>
    <row r="604" spans="2:20">
      <c r="B604" t="s">
        <v>230</v>
      </c>
      <c r="O604" t="s">
        <v>227</v>
      </c>
    </row>
    <row r="605" spans="2:20">
      <c r="B605" t="s">
        <v>231</v>
      </c>
      <c r="O605" t="s">
        <v>228</v>
      </c>
    </row>
  </sheetData>
  <mergeCells count="354">
    <mergeCell ref="K575:M575"/>
    <mergeCell ref="G576:H576"/>
    <mergeCell ref="K579:M579"/>
    <mergeCell ref="G580:H580"/>
    <mergeCell ref="D569:F569"/>
    <mergeCell ref="L569:N569"/>
    <mergeCell ref="G570:H570"/>
    <mergeCell ref="I570:J570"/>
    <mergeCell ref="D565:F565"/>
    <mergeCell ref="L565:N565"/>
    <mergeCell ref="G566:H566"/>
    <mergeCell ref="I566:J566"/>
    <mergeCell ref="C562:K562"/>
    <mergeCell ref="M564:O564"/>
    <mergeCell ref="D553:F553"/>
    <mergeCell ref="L553:N553"/>
    <mergeCell ref="G554:H554"/>
    <mergeCell ref="I554:J554"/>
    <mergeCell ref="D549:F549"/>
    <mergeCell ref="L549:N549"/>
    <mergeCell ref="G550:H550"/>
    <mergeCell ref="I550:J550"/>
    <mergeCell ref="C546:K546"/>
    <mergeCell ref="M548:O548"/>
    <mergeCell ref="M539:O539"/>
    <mergeCell ref="G540:H540"/>
    <mergeCell ref="I540:J540"/>
    <mergeCell ref="M538:O538"/>
    <mergeCell ref="M535:O535"/>
    <mergeCell ref="M527:O527"/>
    <mergeCell ref="G528:H528"/>
    <mergeCell ref="I528:J528"/>
    <mergeCell ref="B532:Q532"/>
    <mergeCell ref="M523:O523"/>
    <mergeCell ref="M525:O525"/>
    <mergeCell ref="M526:O526"/>
    <mergeCell ref="F523:G523"/>
    <mergeCell ref="B522:Q522"/>
    <mergeCell ref="B516:S516"/>
    <mergeCell ref="A520:A521"/>
    <mergeCell ref="B520:Q520"/>
    <mergeCell ref="B521:Q521"/>
    <mergeCell ref="B518:S518"/>
    <mergeCell ref="M265:O265"/>
    <mergeCell ref="M266:O266"/>
    <mergeCell ref="B333:S333"/>
    <mergeCell ref="B335:Q335"/>
    <mergeCell ref="M269:O269"/>
    <mergeCell ref="M270:O270"/>
    <mergeCell ref="M271:O271"/>
    <mergeCell ref="G272:H272"/>
    <mergeCell ref="M282:O282"/>
    <mergeCell ref="D305:F305"/>
    <mergeCell ref="I287:J287"/>
    <mergeCell ref="D290:F290"/>
    <mergeCell ref="M299:O299"/>
    <mergeCell ref="D301:F301"/>
    <mergeCell ref="L301:N301"/>
    <mergeCell ref="G287:H287"/>
    <mergeCell ref="K315:L315"/>
    <mergeCell ref="G306:H306"/>
    <mergeCell ref="L290:N290"/>
    <mergeCell ref="G291:H291"/>
    <mergeCell ref="I291:J291"/>
    <mergeCell ref="G302:H302"/>
    <mergeCell ref="I302:J302"/>
    <mergeCell ref="L305:N305"/>
    <mergeCell ref="F217:G217"/>
    <mergeCell ref="H217:I217"/>
    <mergeCell ref="D192:F192"/>
    <mergeCell ref="D196:F196"/>
    <mergeCell ref="D204:F204"/>
    <mergeCell ref="D208:F208"/>
    <mergeCell ref="I213:K213"/>
    <mergeCell ref="I216:K216"/>
    <mergeCell ref="J209:K209"/>
    <mergeCell ref="C200:K200"/>
    <mergeCell ref="F214:G214"/>
    <mergeCell ref="H214:I214"/>
    <mergeCell ref="J205:K205"/>
    <mergeCell ref="L205:M205"/>
    <mergeCell ref="L208:N208"/>
    <mergeCell ref="K180:L180"/>
    <mergeCell ref="B186:Q186"/>
    <mergeCell ref="C188:K188"/>
    <mergeCell ref="L209:M209"/>
    <mergeCell ref="J197:K197"/>
    <mergeCell ref="L197:M197"/>
    <mergeCell ref="L196:N196"/>
    <mergeCell ref="L192:N192"/>
    <mergeCell ref="I180:J180"/>
    <mergeCell ref="I176:K176"/>
    <mergeCell ref="M176:N176"/>
    <mergeCell ref="L204:N204"/>
    <mergeCell ref="M202:O202"/>
    <mergeCell ref="I177:K177"/>
    <mergeCell ref="M177:N177"/>
    <mergeCell ref="L179:N179"/>
    <mergeCell ref="J193:K193"/>
    <mergeCell ref="L193:M193"/>
    <mergeCell ref="M190:O190"/>
    <mergeCell ref="G155:H155"/>
    <mergeCell ref="I159:K159"/>
    <mergeCell ref="M171:N171"/>
    <mergeCell ref="I172:K172"/>
    <mergeCell ref="B169:Q169"/>
    <mergeCell ref="G160:H160"/>
    <mergeCell ref="I160:J160"/>
    <mergeCell ref="B163:Q163"/>
    <mergeCell ref="B158:Q158"/>
    <mergeCell ref="I164:K164"/>
    <mergeCell ref="I171:K171"/>
    <mergeCell ref="M172:N172"/>
    <mergeCell ref="N82:O82"/>
    <mergeCell ref="P89:Q89"/>
    <mergeCell ref="B90:Q90"/>
    <mergeCell ref="I87:J87"/>
    <mergeCell ref="K87:L87"/>
    <mergeCell ref="P88:Q88"/>
    <mergeCell ref="C92:K92"/>
    <mergeCell ref="N94:O94"/>
    <mergeCell ref="B66:Q66"/>
    <mergeCell ref="N83:O83"/>
    <mergeCell ref="N84:O84"/>
    <mergeCell ref="N85:O85"/>
    <mergeCell ref="N74:O74"/>
    <mergeCell ref="N75:O75"/>
    <mergeCell ref="N76:O76"/>
    <mergeCell ref="N77:O77"/>
    <mergeCell ref="N78:O78"/>
    <mergeCell ref="N81:O81"/>
    <mergeCell ref="B72:Q72"/>
    <mergeCell ref="L67:M67"/>
    <mergeCell ref="I68:J68"/>
    <mergeCell ref="K68:L68"/>
    <mergeCell ref="B71:Q71"/>
    <mergeCell ref="J46:K46"/>
    <mergeCell ref="B61:Q61"/>
    <mergeCell ref="L62:M62"/>
    <mergeCell ref="I63:J63"/>
    <mergeCell ref="K63:L63"/>
    <mergeCell ref="F47:G47"/>
    <mergeCell ref="N56:O56"/>
    <mergeCell ref="N47:O47"/>
    <mergeCell ref="J50:K50"/>
    <mergeCell ref="F51:G51"/>
    <mergeCell ref="N51:O51"/>
    <mergeCell ref="J54:K54"/>
    <mergeCell ref="F55:G55"/>
    <mergeCell ref="G58:I58"/>
    <mergeCell ref="N55:O55"/>
    <mergeCell ref="N57:O57"/>
    <mergeCell ref="B43:Q43"/>
    <mergeCell ref="K16:L16"/>
    <mergeCell ref="B24:Q24"/>
    <mergeCell ref="I31:J31"/>
    <mergeCell ref="K31:L31"/>
    <mergeCell ref="L30:M30"/>
    <mergeCell ref="P37:Q37"/>
    <mergeCell ref="B29:Q29"/>
    <mergeCell ref="L25:M25"/>
    <mergeCell ref="P42:Q42"/>
    <mergeCell ref="L20:M20"/>
    <mergeCell ref="L12:M12"/>
    <mergeCell ref="K26:L26"/>
    <mergeCell ref="I26:J26"/>
    <mergeCell ref="K21:L21"/>
    <mergeCell ref="I21:J21"/>
    <mergeCell ref="A2:T2"/>
    <mergeCell ref="B4:S4"/>
    <mergeCell ref="B3:S3"/>
    <mergeCell ref="B19:Q19"/>
    <mergeCell ref="L14:M14"/>
    <mergeCell ref="I16:J16"/>
    <mergeCell ref="L15:M15"/>
    <mergeCell ref="B6:Q6"/>
    <mergeCell ref="B7:Q7"/>
    <mergeCell ref="B8:Q8"/>
    <mergeCell ref="E96:F96"/>
    <mergeCell ref="N96:O96"/>
    <mergeCell ref="J97:K97"/>
    <mergeCell ref="L97:M97"/>
    <mergeCell ref="E100:F100"/>
    <mergeCell ref="N100:O100"/>
    <mergeCell ref="J101:K101"/>
    <mergeCell ref="L101:M101"/>
    <mergeCell ref="C104:K104"/>
    <mergeCell ref="N106:O106"/>
    <mergeCell ref="E108:F108"/>
    <mergeCell ref="N108:O108"/>
    <mergeCell ref="J109:K109"/>
    <mergeCell ref="L109:M109"/>
    <mergeCell ref="E112:F112"/>
    <mergeCell ref="N112:O112"/>
    <mergeCell ref="J113:K113"/>
    <mergeCell ref="L113:M113"/>
    <mergeCell ref="F121:G121"/>
    <mergeCell ref="H121:I121"/>
    <mergeCell ref="J117:K117"/>
    <mergeCell ref="F118:G118"/>
    <mergeCell ref="H118:I118"/>
    <mergeCell ref="J120:K120"/>
    <mergeCell ref="B239:S239"/>
    <mergeCell ref="B243:Q243"/>
    <mergeCell ref="B245:Q245"/>
    <mergeCell ref="B144:S144"/>
    <mergeCell ref="I149:K149"/>
    <mergeCell ref="Q125:R126"/>
    <mergeCell ref="D125:J126"/>
    <mergeCell ref="K125:M125"/>
    <mergeCell ref="N125:O126"/>
    <mergeCell ref="P125:P126"/>
    <mergeCell ref="B147:Q147"/>
    <mergeCell ref="B148:Q148"/>
    <mergeCell ref="G150:H150"/>
    <mergeCell ref="I150:J150"/>
    <mergeCell ref="G165:H165"/>
    <mergeCell ref="I165:J165"/>
    <mergeCell ref="I154:K154"/>
    <mergeCell ref="I155:J155"/>
    <mergeCell ref="I246:P246"/>
    <mergeCell ref="B246:F246"/>
    <mergeCell ref="B241:S241"/>
    <mergeCell ref="A243:A244"/>
    <mergeCell ref="B244:Q244"/>
    <mergeCell ref="B247:F247"/>
    <mergeCell ref="G246:H246"/>
    <mergeCell ref="G247:H247"/>
    <mergeCell ref="J247:K247"/>
    <mergeCell ref="M247:N247"/>
    <mergeCell ref="O247:P247"/>
    <mergeCell ref="M344:O344"/>
    <mergeCell ref="A349:A350"/>
    <mergeCell ref="B349:Q349"/>
    <mergeCell ref="B350:Q350"/>
    <mergeCell ref="G339:H339"/>
    <mergeCell ref="I339:J339"/>
    <mergeCell ref="G345:H345"/>
    <mergeCell ref="I345:J345"/>
    <mergeCell ref="I373:K373"/>
    <mergeCell ref="I353:K353"/>
    <mergeCell ref="G354:H354"/>
    <mergeCell ref="I354:J354"/>
    <mergeCell ref="G365:H365"/>
    <mergeCell ref="I365:J365"/>
    <mergeCell ref="I362:K362"/>
    <mergeCell ref="B358:Q358"/>
    <mergeCell ref="G396:H396"/>
    <mergeCell ref="I396:J396"/>
    <mergeCell ref="G390:H390"/>
    <mergeCell ref="I390:J390"/>
    <mergeCell ref="B394:Q394"/>
    <mergeCell ref="K338:M338"/>
    <mergeCell ref="I352:K352"/>
    <mergeCell ref="I364:K364"/>
    <mergeCell ref="I375:K375"/>
    <mergeCell ref="B343:Q343"/>
    <mergeCell ref="B351:Q351"/>
    <mergeCell ref="B359:H359"/>
    <mergeCell ref="B352:G352"/>
    <mergeCell ref="C338:E338"/>
    <mergeCell ref="G338:I338"/>
    <mergeCell ref="G383:H383"/>
    <mergeCell ref="I383:J383"/>
    <mergeCell ref="B387:Q387"/>
    <mergeCell ref="I389:K389"/>
    <mergeCell ref="G376:H376"/>
    <mergeCell ref="I376:J376"/>
    <mergeCell ref="B380:Q380"/>
    <mergeCell ref="I382:K382"/>
    <mergeCell ref="I395:K395"/>
    <mergeCell ref="B400:Q400"/>
    <mergeCell ref="I401:K401"/>
    <mergeCell ref="G402:H402"/>
    <mergeCell ref="I402:J402"/>
    <mergeCell ref="I419:K419"/>
    <mergeCell ref="M420:O420"/>
    <mergeCell ref="M415:O415"/>
    <mergeCell ref="M416:O416"/>
    <mergeCell ref="M417:O417"/>
    <mergeCell ref="B412:Q412"/>
    <mergeCell ref="M421:O421"/>
    <mergeCell ref="M422:O422"/>
    <mergeCell ref="M426:O426"/>
    <mergeCell ref="M427:O427"/>
    <mergeCell ref="M428:O428"/>
    <mergeCell ref="M429:O429"/>
    <mergeCell ref="G430:H430"/>
    <mergeCell ref="I430:J430"/>
    <mergeCell ref="C436:K436"/>
    <mergeCell ref="K484:M484"/>
    <mergeCell ref="G485:H485"/>
    <mergeCell ref="G475:H475"/>
    <mergeCell ref="I475:J475"/>
    <mergeCell ref="K480:M480"/>
    <mergeCell ref="G481:H481"/>
    <mergeCell ref="L470:N470"/>
    <mergeCell ref="G449:H449"/>
    <mergeCell ref="I449:J449"/>
    <mergeCell ref="L452:N452"/>
    <mergeCell ref="G453:H453"/>
    <mergeCell ref="I453:J453"/>
    <mergeCell ref="G471:H471"/>
    <mergeCell ref="I471:J471"/>
    <mergeCell ref="C463:K463"/>
    <mergeCell ref="M465:O465"/>
    <mergeCell ref="I258:J258"/>
    <mergeCell ref="B254:H254"/>
    <mergeCell ref="E257:G257"/>
    <mergeCell ref="J256:K256"/>
    <mergeCell ref="B262:Q262"/>
    <mergeCell ref="I257:J257"/>
    <mergeCell ref="L257:M257"/>
    <mergeCell ref="D474:F474"/>
    <mergeCell ref="L474:N474"/>
    <mergeCell ref="M466:O466"/>
    <mergeCell ref="M467:O467"/>
    <mergeCell ref="M468:O468"/>
    <mergeCell ref="D470:F470"/>
    <mergeCell ref="D452:F452"/>
    <mergeCell ref="M438:O438"/>
    <mergeCell ref="M439:O439"/>
    <mergeCell ref="M440:O440"/>
    <mergeCell ref="I442:K442"/>
    <mergeCell ref="M443:O443"/>
    <mergeCell ref="M444:O444"/>
    <mergeCell ref="M445:O445"/>
    <mergeCell ref="M446:O446"/>
    <mergeCell ref="D448:F448"/>
    <mergeCell ref="L448:N448"/>
    <mergeCell ref="M337:O337"/>
    <mergeCell ref="E179:G179"/>
    <mergeCell ref="I179:J179"/>
    <mergeCell ref="C295:K295"/>
    <mergeCell ref="M297:O297"/>
    <mergeCell ref="M298:O298"/>
    <mergeCell ref="G316:H316"/>
    <mergeCell ref="K311:L311"/>
    <mergeCell ref="B146:Q146"/>
    <mergeCell ref="B153:Q153"/>
    <mergeCell ref="I306:J306"/>
    <mergeCell ref="G312:H312"/>
    <mergeCell ref="B168:Q168"/>
    <mergeCell ref="I248:K248"/>
    <mergeCell ref="G249:H249"/>
    <mergeCell ref="I249:J249"/>
    <mergeCell ref="I272:J272"/>
    <mergeCell ref="C280:K280"/>
    <mergeCell ref="M284:O284"/>
    <mergeCell ref="D286:F286"/>
    <mergeCell ref="L286:N286"/>
    <mergeCell ref="M283:O283"/>
    <mergeCell ref="B253:Q253"/>
    <mergeCell ref="G258:H258"/>
  </mergeCells>
  <phoneticPr fontId="5" type="noConversion"/>
  <pageMargins left="0.9" right="0.38" top="0.7" bottom="0.7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dimension ref="A1:AD303"/>
  <sheetViews>
    <sheetView view="pageBreakPreview" topLeftCell="A240" zoomScaleNormal="85" zoomScaleSheetLayoutView="100" workbookViewId="0">
      <selection activeCell="U259" sqref="U259"/>
    </sheetView>
  </sheetViews>
  <sheetFormatPr defaultRowHeight="16.5"/>
  <cols>
    <col min="1" max="1" width="6.140625" style="390"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7109375" style="157" customWidth="1"/>
    <col min="11" max="11" width="2.7109375" style="157" customWidth="1"/>
    <col min="12" max="12" width="7.28515625" style="157" customWidth="1"/>
    <col min="13" max="13" width="3.140625" style="157" customWidth="1"/>
    <col min="14" max="14" width="10.42578125"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25.5" customHeight="1">
      <c r="A1" s="1030" t="s">
        <v>487</v>
      </c>
      <c r="B1" s="1030"/>
      <c r="C1" s="1030"/>
      <c r="D1" s="1030"/>
      <c r="E1" s="1030"/>
      <c r="F1" s="1030"/>
      <c r="G1" s="1030"/>
      <c r="H1" s="1030"/>
      <c r="I1" s="1030"/>
      <c r="J1" s="1030"/>
      <c r="K1" s="1030"/>
      <c r="L1" s="1030"/>
      <c r="M1" s="1030"/>
      <c r="N1" s="1030"/>
      <c r="O1" s="1030"/>
      <c r="P1" s="1030"/>
      <c r="Q1" s="1030"/>
      <c r="R1" s="1030"/>
    </row>
    <row r="2" spans="1:30" ht="25.5" customHeight="1">
      <c r="A2" s="1030"/>
      <c r="B2" s="1030"/>
      <c r="C2" s="1030"/>
      <c r="D2" s="1030"/>
      <c r="E2" s="1030"/>
      <c r="F2" s="1030"/>
      <c r="G2" s="1030"/>
      <c r="H2" s="1030"/>
      <c r="I2" s="1030"/>
      <c r="J2" s="1030"/>
      <c r="K2" s="1030"/>
      <c r="L2" s="1030"/>
      <c r="M2" s="1030"/>
      <c r="N2" s="1030"/>
      <c r="O2" s="1030"/>
      <c r="P2" s="1030"/>
      <c r="Q2" s="1030"/>
      <c r="R2" s="1030"/>
    </row>
    <row r="3" spans="1:30" s="159" customFormat="1" ht="14.25" customHeight="1">
      <c r="A3" s="1031" t="s">
        <v>425</v>
      </c>
      <c r="B3" s="1031"/>
      <c r="C3" s="1031"/>
      <c r="D3" s="1031"/>
      <c r="E3" s="1031"/>
      <c r="F3" s="1031"/>
      <c r="G3" s="1031"/>
      <c r="H3" s="1031"/>
      <c r="I3" s="1031"/>
      <c r="J3" s="1031"/>
      <c r="K3" s="1031"/>
      <c r="L3" s="1031"/>
      <c r="M3" s="1031"/>
      <c r="N3" s="1031"/>
      <c r="O3" s="1031"/>
      <c r="P3" s="1031"/>
      <c r="Q3" s="1031"/>
      <c r="R3" s="1031"/>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412" t="s">
        <v>432</v>
      </c>
      <c r="B6" s="1032" t="s">
        <v>352</v>
      </c>
      <c r="C6" s="1032"/>
      <c r="D6" s="1032"/>
      <c r="E6" s="1032"/>
      <c r="F6" s="1032"/>
      <c r="G6" s="1032"/>
      <c r="H6" s="1032"/>
      <c r="I6" s="1032"/>
      <c r="J6" s="1032"/>
      <c r="K6" s="1032"/>
      <c r="L6" s="1032"/>
      <c r="M6" s="1032"/>
      <c r="N6" s="1032"/>
      <c r="O6" s="1032"/>
      <c r="P6" s="182"/>
      <c r="Q6" s="182"/>
      <c r="R6" s="263"/>
    </row>
    <row r="7" spans="1:30" ht="15" customHeight="1">
      <c r="A7" s="384"/>
      <c r="B7" s="420"/>
      <c r="C7" s="420"/>
      <c r="D7" s="420"/>
      <c r="E7" s="420"/>
      <c r="F7" s="420"/>
      <c r="G7" s="420"/>
      <c r="H7" s="420"/>
      <c r="I7" s="420"/>
      <c r="J7" s="420"/>
      <c r="K7" s="420"/>
      <c r="L7" s="420"/>
      <c r="M7" s="420"/>
      <c r="N7" s="420"/>
      <c r="O7" s="420"/>
      <c r="P7" s="182"/>
      <c r="Q7" s="182"/>
      <c r="R7" s="263"/>
    </row>
    <row r="8" spans="1:30" ht="15" customHeight="1">
      <c r="A8" s="384"/>
      <c r="B8" s="1033" t="s">
        <v>427</v>
      </c>
      <c r="C8" s="1033"/>
      <c r="D8" s="1033"/>
      <c r="E8" s="1033"/>
      <c r="F8" s="1033"/>
      <c r="G8" s="1033"/>
      <c r="H8" s="1033"/>
      <c r="I8" s="1033"/>
      <c r="J8" s="1033"/>
      <c r="K8" s="302"/>
      <c r="L8" s="302"/>
      <c r="M8" s="302"/>
      <c r="N8" s="302"/>
      <c r="O8" s="410"/>
      <c r="P8" s="182"/>
      <c r="Q8" s="182"/>
      <c r="R8" s="263"/>
    </row>
    <row r="9" spans="1:30" ht="13.5" customHeight="1">
      <c r="A9" s="384"/>
      <c r="B9" s="1033" t="s">
        <v>357</v>
      </c>
      <c r="C9" s="1033"/>
      <c r="D9" s="1033"/>
      <c r="E9" s="1033"/>
      <c r="F9" s="1033"/>
      <c r="G9" s="1033"/>
      <c r="H9" s="1033"/>
      <c r="I9" s="1033"/>
      <c r="J9" s="302"/>
      <c r="K9" s="302"/>
      <c r="L9" s="302"/>
      <c r="M9" s="302"/>
      <c r="N9" s="302"/>
      <c r="O9" s="410"/>
      <c r="P9" s="182"/>
      <c r="Q9" s="182"/>
      <c r="R9" s="263"/>
      <c r="X9" s="173"/>
      <c r="Y9" s="419"/>
      <c r="Z9" s="419"/>
      <c r="AA9" s="419"/>
      <c r="AB9" s="419"/>
      <c r="AC9" s="172"/>
      <c r="AD9" s="419"/>
    </row>
    <row r="10" spans="1:30" ht="13.5" customHeight="1">
      <c r="A10" s="384"/>
      <c r="B10" s="421"/>
      <c r="C10" s="421"/>
      <c r="D10" s="421"/>
      <c r="E10" s="421"/>
      <c r="F10" s="421"/>
      <c r="G10" s="421"/>
      <c r="H10" s="421"/>
      <c r="I10" s="421"/>
      <c r="J10" s="302"/>
      <c r="K10" s="302"/>
      <c r="L10" s="302"/>
      <c r="M10" s="302"/>
      <c r="N10" s="302"/>
      <c r="O10" s="410"/>
      <c r="P10" s="182"/>
      <c r="Q10" s="182"/>
      <c r="R10" s="263"/>
      <c r="X10" s="173"/>
      <c r="Y10" s="419"/>
      <c r="Z10" s="419"/>
      <c r="AA10" s="419"/>
      <c r="AB10" s="419"/>
      <c r="AC10" s="172"/>
      <c r="AD10" s="419"/>
    </row>
    <row r="11" spans="1:30" ht="14.25" customHeight="1">
      <c r="A11" s="279"/>
      <c r="B11" s="210" t="s">
        <v>370</v>
      </c>
      <c r="C11" s="210"/>
      <c r="D11" s="210"/>
      <c r="E11" s="210"/>
      <c r="F11" s="203"/>
      <c r="G11" s="414"/>
      <c r="H11" s="203"/>
      <c r="I11" s="414"/>
      <c r="J11" s="186"/>
      <c r="K11" s="190"/>
      <c r="L11" s="187"/>
      <c r="M11" s="190"/>
      <c r="N11" s="213"/>
      <c r="O11" s="294"/>
      <c r="P11" s="192"/>
      <c r="Q11" s="192"/>
      <c r="R11" s="294"/>
    </row>
    <row r="12" spans="1:30" ht="18.75" customHeight="1">
      <c r="A12" s="198"/>
      <c r="B12" s="211" t="s">
        <v>416</v>
      </c>
      <c r="C12" s="212"/>
      <c r="D12" s="185"/>
      <c r="E12" s="185"/>
      <c r="F12" s="414"/>
      <c r="G12" s="414"/>
      <c r="H12" s="203">
        <v>18</v>
      </c>
      <c r="I12" s="414" t="s">
        <v>1</v>
      </c>
      <c r="J12" s="203">
        <v>8</v>
      </c>
      <c r="K12" s="414" t="s">
        <v>1</v>
      </c>
      <c r="L12" s="186">
        <v>3.3</v>
      </c>
      <c r="M12" s="190" t="s">
        <v>0</v>
      </c>
      <c r="N12" s="213">
        <f>L12*J12*H12</f>
        <v>475.2</v>
      </c>
      <c r="O12" s="294" t="s">
        <v>13</v>
      </c>
      <c r="P12" s="182"/>
      <c r="Q12" s="182"/>
      <c r="R12" s="294"/>
    </row>
    <row r="13" spans="1:30" ht="15" customHeight="1">
      <c r="A13" s="198"/>
      <c r="B13" s="211"/>
      <c r="C13" s="212"/>
      <c r="D13" s="185"/>
      <c r="E13" s="185"/>
      <c r="F13" s="414"/>
      <c r="G13" s="414"/>
      <c r="H13" s="203"/>
      <c r="I13" s="414"/>
      <c r="J13" s="186"/>
      <c r="K13" s="184"/>
      <c r="L13" s="186" t="s">
        <v>8</v>
      </c>
      <c r="M13" s="190" t="s">
        <v>0</v>
      </c>
      <c r="N13" s="214">
        <f>SUM(N11:N12)</f>
        <v>475.2</v>
      </c>
      <c r="O13" s="280" t="s">
        <v>13</v>
      </c>
      <c r="P13" s="182"/>
      <c r="Q13" s="182"/>
      <c r="R13" s="294"/>
      <c r="X13" s="1034"/>
      <c r="Y13" s="1034"/>
      <c r="Z13" s="419"/>
      <c r="AA13" s="419"/>
      <c r="AB13" s="419"/>
      <c r="AC13" s="172"/>
      <c r="AD13" s="419"/>
    </row>
    <row r="14" spans="1:30" ht="15" customHeight="1">
      <c r="A14" s="279"/>
      <c r="B14" s="192"/>
      <c r="C14" s="192"/>
      <c r="D14" s="192"/>
      <c r="E14" s="185"/>
      <c r="F14" s="193" t="s">
        <v>350</v>
      </c>
      <c r="G14" s="407" t="s">
        <v>11</v>
      </c>
      <c r="H14" s="407">
        <v>1.58</v>
      </c>
      <c r="I14" s="1010" t="s">
        <v>353</v>
      </c>
      <c r="J14" s="1015"/>
      <c r="K14" s="185"/>
      <c r="L14" s="185"/>
      <c r="M14" s="184" t="s">
        <v>0</v>
      </c>
      <c r="N14" s="407">
        <f>H14*N13</f>
        <v>750.81600000000003</v>
      </c>
      <c r="O14" s="268" t="s">
        <v>100</v>
      </c>
      <c r="P14" s="185"/>
      <c r="Q14" s="185"/>
      <c r="R14" s="244"/>
      <c r="X14" s="173"/>
      <c r="Y14" s="419"/>
      <c r="Z14" s="419"/>
      <c r="AA14" s="419"/>
      <c r="AB14" s="419"/>
      <c r="AC14" s="172"/>
      <c r="AD14" s="419"/>
    </row>
    <row r="15" spans="1:30">
      <c r="A15" s="198"/>
      <c r="B15" s="1028" t="s">
        <v>417</v>
      </c>
      <c r="C15" s="1028"/>
      <c r="D15" s="1028"/>
      <c r="E15" s="1028"/>
      <c r="F15" s="1028"/>
      <c r="G15" s="1028"/>
      <c r="H15" s="1028"/>
      <c r="I15" s="416"/>
      <c r="J15" s="418"/>
      <c r="K15" s="185"/>
      <c r="L15" s="185"/>
      <c r="M15" s="184"/>
      <c r="N15" s="407"/>
      <c r="O15" s="268"/>
      <c r="P15" s="182"/>
      <c r="Q15" s="182"/>
      <c r="R15" s="294"/>
      <c r="U15" s="168"/>
      <c r="V15" s="168"/>
      <c r="W15" s="168"/>
      <c r="X15" s="173"/>
      <c r="Y15" s="419"/>
      <c r="Z15" s="419"/>
      <c r="AA15" s="419"/>
      <c r="AB15" s="419"/>
      <c r="AC15" s="172"/>
      <c r="AD15" s="419"/>
    </row>
    <row r="16" spans="1:30" ht="36" customHeight="1">
      <c r="A16" s="198"/>
      <c r="B16" s="1019" t="s">
        <v>385</v>
      </c>
      <c r="C16" s="1019"/>
      <c r="D16" s="1019"/>
      <c r="E16" s="1019"/>
      <c r="F16" s="1019"/>
      <c r="G16" s="1019"/>
      <c r="H16" s="203">
        <f>H12</f>
        <v>18</v>
      </c>
      <c r="I16" s="414" t="s">
        <v>1</v>
      </c>
      <c r="J16" s="203">
        <f>33+1</f>
        <v>34</v>
      </c>
      <c r="K16" s="414" t="s">
        <v>1</v>
      </c>
      <c r="L16" s="186">
        <v>1.8</v>
      </c>
      <c r="M16" s="190" t="s">
        <v>0</v>
      </c>
      <c r="N16" s="213">
        <f t="shared" ref="N16" si="0">L16*J16*H16</f>
        <v>1101.6000000000001</v>
      </c>
      <c r="O16" s="404" t="s">
        <v>13</v>
      </c>
      <c r="P16" s="182"/>
      <c r="Q16" s="182"/>
      <c r="R16" s="294"/>
      <c r="U16" s="168"/>
      <c r="V16" s="168"/>
      <c r="W16" s="168"/>
      <c r="X16" s="173"/>
      <c r="Y16" s="419"/>
      <c r="Z16" s="419"/>
      <c r="AA16" s="419"/>
      <c r="AB16" s="419"/>
      <c r="AC16" s="172"/>
      <c r="AD16" s="419"/>
    </row>
    <row r="17" spans="1:30">
      <c r="A17" s="198"/>
      <c r="B17" s="211"/>
      <c r="C17" s="212"/>
      <c r="D17" s="185"/>
      <c r="E17" s="185"/>
      <c r="F17" s="414"/>
      <c r="G17" s="414"/>
      <c r="H17" s="203"/>
      <c r="I17" s="414"/>
      <c r="J17" s="186"/>
      <c r="K17" s="184"/>
      <c r="L17" s="186" t="s">
        <v>8</v>
      </c>
      <c r="M17" s="190" t="s">
        <v>0</v>
      </c>
      <c r="N17" s="214">
        <f>SUM(N16:N16)</f>
        <v>1101.6000000000001</v>
      </c>
      <c r="O17" s="280" t="s">
        <v>13</v>
      </c>
      <c r="P17" s="182"/>
      <c r="Q17" s="182"/>
      <c r="R17" s="294"/>
      <c r="U17" s="168"/>
      <c r="V17" s="168"/>
      <c r="W17" s="168"/>
      <c r="X17" s="172"/>
      <c r="Y17" s="419"/>
      <c r="Z17" s="419"/>
      <c r="AA17" s="419"/>
      <c r="AB17" s="174"/>
      <c r="AC17" s="172"/>
      <c r="AD17" s="419"/>
    </row>
    <row r="18" spans="1:30">
      <c r="A18" s="198"/>
      <c r="B18" s="192"/>
      <c r="C18" s="192"/>
      <c r="D18" s="192"/>
      <c r="E18" s="185"/>
      <c r="F18" s="193" t="s">
        <v>350</v>
      </c>
      <c r="G18" s="407" t="s">
        <v>11</v>
      </c>
      <c r="H18" s="407">
        <v>0.39</v>
      </c>
      <c r="I18" s="1010" t="s">
        <v>353</v>
      </c>
      <c r="J18" s="1015"/>
      <c r="K18" s="185"/>
      <c r="L18" s="185"/>
      <c r="M18" s="184" t="s">
        <v>0</v>
      </c>
      <c r="N18" s="407">
        <f>H18*N17</f>
        <v>429.62400000000008</v>
      </c>
      <c r="O18" s="268" t="s">
        <v>100</v>
      </c>
      <c r="P18" s="182"/>
      <c r="Q18" s="182"/>
      <c r="R18" s="294"/>
      <c r="U18" s="168"/>
      <c r="V18" s="168"/>
      <c r="W18" s="168"/>
      <c r="X18" s="1029"/>
      <c r="Y18" s="1029"/>
      <c r="Z18" s="1029"/>
      <c r="AA18" s="1029"/>
      <c r="AB18" s="1029"/>
      <c r="AC18" s="172"/>
      <c r="AD18" s="419"/>
    </row>
    <row r="19" spans="1:30">
      <c r="A19" s="198"/>
      <c r="B19" s="192"/>
      <c r="C19" s="192"/>
      <c r="D19" s="192"/>
      <c r="E19" s="185"/>
      <c r="F19" s="193"/>
      <c r="G19" s="407"/>
      <c r="H19" s="407"/>
      <c r="I19" s="416"/>
      <c r="J19" s="418"/>
      <c r="K19" s="185"/>
      <c r="L19" s="185"/>
      <c r="M19" s="184"/>
      <c r="N19" s="407"/>
      <c r="O19" s="268"/>
      <c r="P19" s="182"/>
      <c r="Q19" s="182"/>
      <c r="R19" s="294"/>
      <c r="U19" s="168"/>
      <c r="V19" s="168"/>
      <c r="W19" s="168"/>
      <c r="X19" s="419"/>
      <c r="Y19" s="419"/>
      <c r="Z19" s="419"/>
      <c r="AA19" s="419"/>
      <c r="AB19" s="419"/>
      <c r="AC19" s="172"/>
      <c r="AD19" s="419"/>
    </row>
    <row r="20" spans="1:30">
      <c r="A20" s="198"/>
      <c r="B20" s="1027" t="s">
        <v>386</v>
      </c>
      <c r="C20" s="1027"/>
      <c r="D20" s="1027"/>
      <c r="E20" s="1027"/>
      <c r="F20" s="1027"/>
      <c r="G20" s="1027"/>
      <c r="H20" s="1027"/>
      <c r="I20" s="416"/>
      <c r="J20" s="418"/>
      <c r="K20" s="185"/>
      <c r="L20" s="185"/>
      <c r="M20" s="184"/>
      <c r="N20" s="407"/>
      <c r="O20" s="268"/>
      <c r="P20" s="182"/>
      <c r="Q20" s="182"/>
      <c r="R20" s="294"/>
      <c r="U20" s="168"/>
      <c r="V20" s="168"/>
      <c r="W20" s="168"/>
      <c r="X20" s="172"/>
      <c r="Y20" s="419"/>
      <c r="Z20" s="419"/>
      <c r="AA20" s="419"/>
      <c r="AB20" s="174"/>
      <c r="AC20" s="172"/>
      <c r="AD20" s="176"/>
    </row>
    <row r="21" spans="1:30">
      <c r="A21" s="198"/>
      <c r="B21" s="1019" t="s">
        <v>445</v>
      </c>
      <c r="C21" s="1019"/>
      <c r="D21" s="1019"/>
      <c r="E21" s="1019"/>
      <c r="F21" s="1019"/>
      <c r="G21" s="407"/>
      <c r="H21" s="407"/>
      <c r="I21" s="416"/>
      <c r="J21" s="418"/>
      <c r="K21" s="185"/>
      <c r="L21" s="185"/>
      <c r="M21" s="184"/>
      <c r="N21" s="407"/>
      <c r="O21" s="268"/>
      <c r="P21" s="182"/>
      <c r="Q21" s="182"/>
      <c r="R21" s="294"/>
      <c r="X21" s="173"/>
      <c r="Y21" s="177"/>
      <c r="Z21" s="177"/>
      <c r="AA21" s="177"/>
      <c r="AB21" s="177"/>
      <c r="AC21" s="172"/>
      <c r="AD21" s="419"/>
    </row>
    <row r="22" spans="1:30">
      <c r="A22" s="198"/>
      <c r="B22" s="1019" t="s">
        <v>387</v>
      </c>
      <c r="C22" s="1019"/>
      <c r="D22" s="1019"/>
      <c r="E22" s="1019"/>
      <c r="F22" s="1019"/>
      <c r="G22" s="407"/>
      <c r="H22" s="203">
        <v>2</v>
      </c>
      <c r="I22" s="414" t="s">
        <v>1</v>
      </c>
      <c r="J22" s="203">
        <v>4</v>
      </c>
      <c r="K22" s="414" t="s">
        <v>1</v>
      </c>
      <c r="L22" s="186">
        <v>42.7</v>
      </c>
      <c r="M22" s="190" t="s">
        <v>0</v>
      </c>
      <c r="N22" s="213">
        <f t="shared" ref="N22:N24" si="1">L22*J22*H22</f>
        <v>341.6</v>
      </c>
      <c r="O22" s="294" t="s">
        <v>13</v>
      </c>
      <c r="P22" s="182"/>
      <c r="Q22" s="182"/>
      <c r="R22" s="294"/>
      <c r="X22" s="173"/>
      <c r="Y22" s="177"/>
      <c r="Z22" s="177"/>
      <c r="AA22" s="177"/>
      <c r="AB22" s="177"/>
      <c r="AC22" s="172"/>
      <c r="AD22" s="419"/>
    </row>
    <row r="23" spans="1:30">
      <c r="A23" s="198"/>
      <c r="B23" s="1019" t="s">
        <v>388</v>
      </c>
      <c r="C23" s="1019"/>
      <c r="D23" s="1019"/>
      <c r="E23" s="1019"/>
      <c r="F23" s="1019"/>
      <c r="G23" s="407"/>
      <c r="H23" s="203">
        <v>2</v>
      </c>
      <c r="I23" s="414" t="s">
        <v>1</v>
      </c>
      <c r="J23" s="203">
        <v>2</v>
      </c>
      <c r="K23" s="414" t="s">
        <v>1</v>
      </c>
      <c r="L23" s="186">
        <f>L22</f>
        <v>42.7</v>
      </c>
      <c r="M23" s="190" t="s">
        <v>0</v>
      </c>
      <c r="N23" s="213">
        <f t="shared" si="1"/>
        <v>170.8</v>
      </c>
      <c r="O23" s="294" t="s">
        <v>13</v>
      </c>
      <c r="P23" s="182"/>
      <c r="Q23" s="182"/>
      <c r="R23" s="294"/>
      <c r="X23" s="173"/>
      <c r="Y23" s="177"/>
      <c r="Z23" s="177"/>
      <c r="AA23" s="177"/>
      <c r="AB23" s="177"/>
      <c r="AC23" s="172"/>
      <c r="AD23" s="419"/>
    </row>
    <row r="24" spans="1:30">
      <c r="A24" s="198"/>
      <c r="B24" s="1019" t="s">
        <v>389</v>
      </c>
      <c r="C24" s="1019"/>
      <c r="D24" s="1019"/>
      <c r="E24" s="1019"/>
      <c r="F24" s="1019"/>
      <c r="G24" s="407"/>
      <c r="H24" s="203">
        <v>2</v>
      </c>
      <c r="I24" s="414" t="s">
        <v>1</v>
      </c>
      <c r="J24" s="203">
        <v>2</v>
      </c>
      <c r="K24" s="414" t="s">
        <v>1</v>
      </c>
      <c r="L24" s="186">
        <f>L23</f>
        <v>42.7</v>
      </c>
      <c r="M24" s="190" t="s">
        <v>0</v>
      </c>
      <c r="N24" s="213">
        <f t="shared" si="1"/>
        <v>170.8</v>
      </c>
      <c r="O24" s="294" t="s">
        <v>13</v>
      </c>
      <c r="P24" s="182"/>
      <c r="Q24" s="182"/>
      <c r="R24" s="294"/>
      <c r="X24" s="173"/>
      <c r="Y24" s="177"/>
      <c r="Z24" s="177"/>
      <c r="AA24" s="177"/>
      <c r="AB24" s="177"/>
      <c r="AC24" s="172"/>
      <c r="AD24" s="419"/>
    </row>
    <row r="25" spans="1:30">
      <c r="A25" s="198"/>
      <c r="B25" s="211"/>
      <c r="C25" s="212"/>
      <c r="D25" s="185"/>
      <c r="E25" s="185"/>
      <c r="F25" s="414"/>
      <c r="G25" s="414"/>
      <c r="H25" s="203"/>
      <c r="I25" s="414"/>
      <c r="J25" s="186"/>
      <c r="K25" s="184"/>
      <c r="L25" s="186" t="s">
        <v>8</v>
      </c>
      <c r="M25" s="190" t="s">
        <v>0</v>
      </c>
      <c r="N25" s="214">
        <f>SUM(N22:N24)</f>
        <v>683.2</v>
      </c>
      <c r="O25" s="280" t="s">
        <v>13</v>
      </c>
      <c r="P25" s="182"/>
      <c r="Q25" s="182"/>
      <c r="R25" s="294"/>
      <c r="X25" s="173"/>
      <c r="Y25" s="177"/>
      <c r="Z25" s="177"/>
      <c r="AA25" s="177"/>
      <c r="AB25" s="177"/>
      <c r="AC25" s="172"/>
      <c r="AD25" s="419"/>
    </row>
    <row r="26" spans="1:30">
      <c r="A26" s="198"/>
      <c r="B26" s="192"/>
      <c r="C26" s="192"/>
      <c r="D26" s="192"/>
      <c r="E26" s="185"/>
      <c r="F26" s="193" t="s">
        <v>350</v>
      </c>
      <c r="G26" s="407" t="s">
        <v>11</v>
      </c>
      <c r="H26" s="407">
        <v>2.46</v>
      </c>
      <c r="I26" s="1010" t="s">
        <v>353</v>
      </c>
      <c r="J26" s="1015"/>
      <c r="K26" s="185"/>
      <c r="L26" s="185"/>
      <c r="M26" s="184" t="s">
        <v>0</v>
      </c>
      <c r="N26" s="407">
        <f>H26*N25</f>
        <v>1680.672</v>
      </c>
      <c r="O26" s="268" t="s">
        <v>100</v>
      </c>
      <c r="P26" s="182"/>
      <c r="Q26" s="182"/>
      <c r="R26" s="294"/>
      <c r="X26" s="173"/>
      <c r="Y26" s="177"/>
      <c r="Z26" s="177"/>
      <c r="AA26" s="177"/>
      <c r="AB26" s="177"/>
      <c r="AC26" s="172"/>
      <c r="AD26" s="419"/>
    </row>
    <row r="27" spans="1:30">
      <c r="A27" s="198"/>
      <c r="B27" s="416"/>
      <c r="C27" s="416"/>
      <c r="D27" s="416"/>
      <c r="E27" s="416"/>
      <c r="F27" s="193"/>
      <c r="G27" s="407"/>
      <c r="H27" s="407"/>
      <c r="I27" s="416"/>
      <c r="J27" s="418"/>
      <c r="K27" s="185"/>
      <c r="L27" s="185"/>
      <c r="M27" s="184"/>
      <c r="N27" s="407"/>
      <c r="O27" s="268"/>
      <c r="P27" s="182"/>
      <c r="Q27" s="182"/>
      <c r="R27" s="294"/>
      <c r="X27" s="173"/>
      <c r="Y27" s="177"/>
      <c r="Z27" s="177"/>
      <c r="AA27" s="177"/>
      <c r="AB27" s="177"/>
      <c r="AC27" s="172"/>
      <c r="AD27" s="419"/>
    </row>
    <row r="28" spans="1:30" ht="33" customHeight="1">
      <c r="A28" s="198"/>
      <c r="B28" s="1019" t="s">
        <v>385</v>
      </c>
      <c r="C28" s="1019"/>
      <c r="D28" s="1019"/>
      <c r="E28" s="1019"/>
      <c r="F28" s="1019"/>
      <c r="G28" s="1019"/>
      <c r="H28" s="203">
        <v>1</v>
      </c>
      <c r="I28" s="414" t="s">
        <v>1</v>
      </c>
      <c r="J28" s="203">
        <f>L22/0.1+1</f>
        <v>428</v>
      </c>
      <c r="K28" s="414" t="s">
        <v>1</v>
      </c>
      <c r="L28" s="186">
        <v>1.5</v>
      </c>
      <c r="M28" s="190" t="s">
        <v>0</v>
      </c>
      <c r="N28" s="213">
        <f>L28*J28*H28</f>
        <v>642</v>
      </c>
      <c r="O28" s="404" t="s">
        <v>13</v>
      </c>
      <c r="P28" s="182"/>
      <c r="Q28" s="182"/>
      <c r="R28" s="294"/>
      <c r="X28" s="173"/>
      <c r="Y28" s="177"/>
      <c r="Z28" s="177"/>
      <c r="AA28" s="177"/>
      <c r="AB28" s="177"/>
      <c r="AC28" s="172"/>
      <c r="AD28" s="419"/>
    </row>
    <row r="29" spans="1:30">
      <c r="A29" s="198"/>
      <c r="B29" s="211"/>
      <c r="C29" s="212"/>
      <c r="D29" s="185"/>
      <c r="E29" s="185"/>
      <c r="F29" s="414"/>
      <c r="G29" s="414"/>
      <c r="H29" s="203"/>
      <c r="I29" s="414"/>
      <c r="J29" s="186"/>
      <c r="K29" s="184"/>
      <c r="L29" s="186" t="s">
        <v>8</v>
      </c>
      <c r="M29" s="190" t="s">
        <v>0</v>
      </c>
      <c r="N29" s="214">
        <f>SUM(N28)</f>
        <v>642</v>
      </c>
      <c r="O29" s="280" t="s">
        <v>13</v>
      </c>
      <c r="P29" s="182"/>
      <c r="Q29" s="182"/>
      <c r="R29" s="294"/>
      <c r="X29" s="173"/>
      <c r="Y29" s="177"/>
      <c r="Z29" s="177"/>
      <c r="AA29" s="177"/>
      <c r="AB29" s="177"/>
      <c r="AC29" s="172"/>
      <c r="AD29" s="419"/>
    </row>
    <row r="30" spans="1:30">
      <c r="A30" s="198"/>
      <c r="B30" s="192"/>
      <c r="C30" s="192"/>
      <c r="D30" s="192"/>
      <c r="E30" s="185"/>
      <c r="F30" s="193" t="s">
        <v>350</v>
      </c>
      <c r="G30" s="407" t="s">
        <v>11</v>
      </c>
      <c r="H30" s="407">
        <v>0.39</v>
      </c>
      <c r="I30" s="1010" t="s">
        <v>353</v>
      </c>
      <c r="J30" s="1015"/>
      <c r="K30" s="185"/>
      <c r="L30" s="185"/>
      <c r="M30" s="184" t="s">
        <v>0</v>
      </c>
      <c r="N30" s="407">
        <f>H30*N29</f>
        <v>250.38</v>
      </c>
      <c r="O30" s="268" t="s">
        <v>100</v>
      </c>
      <c r="P30" s="182"/>
      <c r="Q30" s="182"/>
      <c r="R30" s="294"/>
      <c r="X30" s="173"/>
      <c r="Y30" s="177"/>
      <c r="Z30" s="177"/>
      <c r="AA30" s="177"/>
      <c r="AB30" s="177"/>
      <c r="AC30" s="172"/>
      <c r="AD30" s="419"/>
    </row>
    <row r="31" spans="1:30">
      <c r="A31" s="198"/>
      <c r="B31" s="1019" t="s">
        <v>384</v>
      </c>
      <c r="C31" s="1019"/>
      <c r="D31" s="1019"/>
      <c r="E31" s="1019"/>
      <c r="F31" s="1019"/>
      <c r="G31" s="407"/>
      <c r="H31" s="407"/>
      <c r="I31" s="416"/>
      <c r="J31" s="418"/>
      <c r="K31" s="185"/>
      <c r="L31" s="185"/>
      <c r="M31" s="184"/>
      <c r="N31" s="407"/>
      <c r="O31" s="268"/>
      <c r="P31" s="182"/>
      <c r="Q31" s="182"/>
      <c r="R31" s="294"/>
      <c r="X31" s="173"/>
      <c r="Y31" s="177"/>
      <c r="Z31" s="177"/>
      <c r="AA31" s="177"/>
      <c r="AB31" s="177"/>
      <c r="AC31" s="172"/>
      <c r="AD31" s="419"/>
    </row>
    <row r="32" spans="1:30">
      <c r="A32" s="198"/>
      <c r="B32" s="1019" t="s">
        <v>387</v>
      </c>
      <c r="C32" s="1019"/>
      <c r="D32" s="1019"/>
      <c r="E32" s="1019"/>
      <c r="F32" s="1019"/>
      <c r="G32" s="407"/>
      <c r="H32" s="203">
        <v>2</v>
      </c>
      <c r="I32" s="414" t="s">
        <v>1</v>
      </c>
      <c r="J32" s="203">
        <v>4</v>
      </c>
      <c r="K32" s="414" t="s">
        <v>1</v>
      </c>
      <c r="L32" s="186">
        <v>51.2</v>
      </c>
      <c r="M32" s="190" t="s">
        <v>0</v>
      </c>
      <c r="N32" s="213">
        <f t="shared" ref="N32:N34" si="2">L32*J32*H32</f>
        <v>409.6</v>
      </c>
      <c r="O32" s="294" t="s">
        <v>13</v>
      </c>
      <c r="P32" s="182"/>
      <c r="Q32" s="182"/>
      <c r="R32" s="294"/>
      <c r="X32" s="173"/>
      <c r="Y32" s="177"/>
      <c r="Z32" s="177"/>
      <c r="AA32" s="177"/>
      <c r="AB32" s="177"/>
      <c r="AC32" s="172"/>
      <c r="AD32" s="419"/>
    </row>
    <row r="33" spans="1:30">
      <c r="A33" s="198"/>
      <c r="B33" s="1019" t="s">
        <v>388</v>
      </c>
      <c r="C33" s="1019"/>
      <c r="D33" s="1019"/>
      <c r="E33" s="1019"/>
      <c r="F33" s="1019"/>
      <c r="G33" s="407"/>
      <c r="H33" s="203">
        <v>2</v>
      </c>
      <c r="I33" s="414" t="s">
        <v>1</v>
      </c>
      <c r="J33" s="203">
        <v>2</v>
      </c>
      <c r="K33" s="414" t="s">
        <v>1</v>
      </c>
      <c r="L33" s="186">
        <f>L32</f>
        <v>51.2</v>
      </c>
      <c r="M33" s="190" t="s">
        <v>0</v>
      </c>
      <c r="N33" s="213">
        <f t="shared" si="2"/>
        <v>204.8</v>
      </c>
      <c r="O33" s="294" t="s">
        <v>13</v>
      </c>
      <c r="P33" s="182"/>
      <c r="Q33" s="182"/>
      <c r="R33" s="294"/>
      <c r="X33" s="173"/>
      <c r="Y33" s="177"/>
      <c r="Z33" s="177"/>
      <c r="AA33" s="177"/>
      <c r="AB33" s="177"/>
      <c r="AC33" s="172"/>
      <c r="AD33" s="419"/>
    </row>
    <row r="34" spans="1:30">
      <c r="A34" s="198"/>
      <c r="B34" s="1019" t="s">
        <v>389</v>
      </c>
      <c r="C34" s="1019"/>
      <c r="D34" s="1019"/>
      <c r="E34" s="1019"/>
      <c r="F34" s="1019"/>
      <c r="G34" s="407"/>
      <c r="H34" s="203">
        <v>2</v>
      </c>
      <c r="I34" s="414" t="s">
        <v>1</v>
      </c>
      <c r="J34" s="203">
        <v>2</v>
      </c>
      <c r="K34" s="414" t="s">
        <v>1</v>
      </c>
      <c r="L34" s="186">
        <f>L33</f>
        <v>51.2</v>
      </c>
      <c r="M34" s="190" t="s">
        <v>0</v>
      </c>
      <c r="N34" s="213">
        <f t="shared" si="2"/>
        <v>204.8</v>
      </c>
      <c r="O34" s="294" t="s">
        <v>13</v>
      </c>
      <c r="P34" s="182"/>
      <c r="Q34" s="182"/>
      <c r="R34" s="294"/>
      <c r="X34" s="173"/>
      <c r="Y34" s="177"/>
      <c r="Z34" s="177"/>
      <c r="AA34" s="177"/>
      <c r="AB34" s="177"/>
      <c r="AC34" s="172"/>
      <c r="AD34" s="419"/>
    </row>
    <row r="35" spans="1:30">
      <c r="A35" s="198"/>
      <c r="B35" s="211"/>
      <c r="C35" s="212"/>
      <c r="D35" s="185"/>
      <c r="E35" s="185"/>
      <c r="F35" s="414"/>
      <c r="G35" s="414"/>
      <c r="H35" s="203"/>
      <c r="I35" s="414"/>
      <c r="J35" s="186"/>
      <c r="K35" s="184"/>
      <c r="L35" s="186" t="s">
        <v>8</v>
      </c>
      <c r="M35" s="190" t="s">
        <v>0</v>
      </c>
      <c r="N35" s="214">
        <f>SUM(N32:N34)</f>
        <v>819.2</v>
      </c>
      <c r="O35" s="280" t="s">
        <v>13</v>
      </c>
      <c r="P35" s="182"/>
      <c r="Q35" s="182"/>
      <c r="R35" s="294"/>
      <c r="X35" s="173"/>
      <c r="Y35" s="177"/>
      <c r="Z35" s="177"/>
      <c r="AA35" s="177"/>
      <c r="AB35" s="177"/>
      <c r="AC35" s="172"/>
      <c r="AD35" s="419"/>
    </row>
    <row r="36" spans="1:30">
      <c r="A36" s="198"/>
      <c r="B36" s="192"/>
      <c r="C36" s="192"/>
      <c r="D36" s="192"/>
      <c r="E36" s="185"/>
      <c r="F36" s="193" t="s">
        <v>350</v>
      </c>
      <c r="G36" s="407" t="s">
        <v>11</v>
      </c>
      <c r="H36" s="407">
        <v>1.58</v>
      </c>
      <c r="I36" s="1010" t="s">
        <v>353</v>
      </c>
      <c r="J36" s="1015"/>
      <c r="K36" s="185"/>
      <c r="L36" s="185"/>
      <c r="M36" s="184" t="s">
        <v>0</v>
      </c>
      <c r="N36" s="407">
        <f>H36*N35</f>
        <v>1294.3360000000002</v>
      </c>
      <c r="O36" s="268" t="s">
        <v>100</v>
      </c>
      <c r="P36" s="182"/>
      <c r="Q36" s="182"/>
      <c r="R36" s="294"/>
      <c r="X36" s="173"/>
      <c r="Y36" s="177"/>
      <c r="Z36" s="177"/>
      <c r="AA36" s="177"/>
      <c r="AB36" s="177"/>
      <c r="AC36" s="172"/>
      <c r="AD36" s="419"/>
    </row>
    <row r="37" spans="1:30">
      <c r="A37" s="198"/>
      <c r="B37" s="416"/>
      <c r="C37" s="416"/>
      <c r="D37" s="416"/>
      <c r="E37" s="416"/>
      <c r="F37" s="193"/>
      <c r="G37" s="407"/>
      <c r="H37" s="407"/>
      <c r="I37" s="416"/>
      <c r="J37" s="418"/>
      <c r="K37" s="185"/>
      <c r="L37" s="185"/>
      <c r="M37" s="184"/>
      <c r="N37" s="407"/>
      <c r="O37" s="268"/>
      <c r="P37" s="182"/>
      <c r="Q37" s="182"/>
      <c r="R37" s="294"/>
      <c r="X37" s="173"/>
      <c r="Y37" s="177"/>
      <c r="Z37" s="177"/>
      <c r="AA37" s="177"/>
      <c r="AB37" s="177"/>
      <c r="AC37" s="172"/>
      <c r="AD37" s="419"/>
    </row>
    <row r="38" spans="1:30" s="361" customFormat="1" ht="33" customHeight="1">
      <c r="A38" s="423"/>
      <c r="B38" s="1026" t="s">
        <v>385</v>
      </c>
      <c r="C38" s="1026"/>
      <c r="D38" s="1026"/>
      <c r="E38" s="1026"/>
      <c r="F38" s="1026"/>
      <c r="G38" s="1026"/>
      <c r="H38" s="203">
        <v>1</v>
      </c>
      <c r="I38" s="414" t="s">
        <v>1</v>
      </c>
      <c r="J38" s="203">
        <f>L32/0.1+1</f>
        <v>513</v>
      </c>
      <c r="K38" s="414" t="s">
        <v>1</v>
      </c>
      <c r="L38" s="186">
        <v>1.5</v>
      </c>
      <c r="M38" s="190" t="s">
        <v>0</v>
      </c>
      <c r="N38" s="191">
        <f>L38*J38*H38</f>
        <v>769.5</v>
      </c>
      <c r="O38" s="404" t="s">
        <v>13</v>
      </c>
      <c r="P38" s="211"/>
      <c r="Q38" s="211"/>
      <c r="R38" s="404"/>
      <c r="X38" s="176"/>
      <c r="Y38" s="177"/>
      <c r="Z38" s="177"/>
      <c r="AA38" s="177"/>
      <c r="AB38" s="177"/>
      <c r="AC38" s="362"/>
      <c r="AD38" s="419"/>
    </row>
    <row r="39" spans="1:30">
      <c r="A39" s="198"/>
      <c r="B39" s="211"/>
      <c r="C39" s="212"/>
      <c r="D39" s="185"/>
      <c r="E39" s="185"/>
      <c r="F39" s="414"/>
      <c r="G39" s="414"/>
      <c r="H39" s="203"/>
      <c r="I39" s="414"/>
      <c r="J39" s="186"/>
      <c r="K39" s="184"/>
      <c r="L39" s="186" t="s">
        <v>8</v>
      </c>
      <c r="M39" s="190" t="s">
        <v>0</v>
      </c>
      <c r="N39" s="214">
        <f>SUM(N38)</f>
        <v>769.5</v>
      </c>
      <c r="O39" s="280" t="s">
        <v>13</v>
      </c>
      <c r="P39" s="182"/>
      <c r="Q39" s="182"/>
      <c r="R39" s="294"/>
      <c r="X39" s="173"/>
      <c r="Y39" s="177"/>
      <c r="Z39" s="177"/>
      <c r="AA39" s="177"/>
      <c r="AB39" s="177"/>
      <c r="AC39" s="172"/>
      <c r="AD39" s="419"/>
    </row>
    <row r="40" spans="1:30">
      <c r="A40" s="198"/>
      <c r="B40" s="192"/>
      <c r="C40" s="192"/>
      <c r="D40" s="192"/>
      <c r="E40" s="185"/>
      <c r="F40" s="193" t="s">
        <v>350</v>
      </c>
      <c r="G40" s="407" t="s">
        <v>11</v>
      </c>
      <c r="H40" s="407">
        <v>0.39</v>
      </c>
      <c r="I40" s="1010" t="s">
        <v>353</v>
      </c>
      <c r="J40" s="1015"/>
      <c r="K40" s="185"/>
      <c r="L40" s="185"/>
      <c r="M40" s="184" t="s">
        <v>0</v>
      </c>
      <c r="N40" s="407">
        <f>H40*N39</f>
        <v>300.10500000000002</v>
      </c>
      <c r="O40" s="268" t="s">
        <v>100</v>
      </c>
      <c r="P40" s="182"/>
      <c r="Q40" s="182"/>
      <c r="R40" s="294"/>
      <c r="X40" s="173"/>
      <c r="Y40" s="177"/>
      <c r="Z40" s="177"/>
      <c r="AA40" s="177"/>
      <c r="AB40" s="177"/>
      <c r="AC40" s="172"/>
      <c r="AD40" s="419"/>
    </row>
    <row r="41" spans="1:30">
      <c r="A41" s="198"/>
      <c r="B41" s="192"/>
      <c r="C41" s="192"/>
      <c r="D41" s="192"/>
      <c r="E41" s="185"/>
      <c r="F41" s="193"/>
      <c r="G41" s="407"/>
      <c r="H41" s="407"/>
      <c r="I41" s="416"/>
      <c r="J41" s="418"/>
      <c r="K41" s="185"/>
      <c r="L41" s="185"/>
      <c r="M41" s="184"/>
      <c r="N41" s="407"/>
      <c r="O41" s="268"/>
      <c r="P41" s="182"/>
      <c r="Q41" s="182"/>
      <c r="R41" s="294"/>
      <c r="X41" s="173"/>
      <c r="Y41" s="177"/>
      <c r="Z41" s="177"/>
      <c r="AA41" s="177"/>
      <c r="AB41" s="177"/>
      <c r="AC41" s="172"/>
      <c r="AD41" s="419"/>
    </row>
    <row r="42" spans="1:30">
      <c r="A42" s="198"/>
      <c r="B42" s="192"/>
      <c r="C42" s="192"/>
      <c r="D42" s="192"/>
      <c r="E42" s="185"/>
      <c r="F42" s="193"/>
      <c r="G42" s="407"/>
      <c r="H42" s="407"/>
      <c r="I42" s="416"/>
      <c r="J42" s="418"/>
      <c r="K42" s="185"/>
      <c r="L42" s="185"/>
      <c r="M42" s="184"/>
      <c r="N42" s="407"/>
      <c r="O42" s="281" t="s">
        <v>24</v>
      </c>
      <c r="P42" s="251" t="s">
        <v>0</v>
      </c>
      <c r="Q42" s="252" t="s">
        <v>11</v>
      </c>
      <c r="R42" s="272">
        <f>SUM(R7:R41)</f>
        <v>0</v>
      </c>
      <c r="X42" s="173"/>
      <c r="Y42" s="177"/>
      <c r="Z42" s="177"/>
      <c r="AA42" s="177"/>
      <c r="AB42" s="177"/>
      <c r="AC42" s="172"/>
      <c r="AD42" s="419"/>
    </row>
    <row r="43" spans="1:30">
      <c r="A43" s="385"/>
      <c r="B43" s="185"/>
      <c r="C43" s="185"/>
      <c r="D43" s="185"/>
      <c r="E43" s="185"/>
      <c r="F43" s="185"/>
      <c r="G43" s="185"/>
      <c r="H43" s="185"/>
      <c r="I43" s="185"/>
      <c r="J43" s="185"/>
      <c r="K43" s="185"/>
      <c r="L43" s="185"/>
      <c r="M43" s="185"/>
      <c r="N43" s="185"/>
      <c r="O43" s="281" t="s">
        <v>25</v>
      </c>
      <c r="P43" s="251" t="s">
        <v>0</v>
      </c>
      <c r="Q43" s="252" t="s">
        <v>11</v>
      </c>
      <c r="R43" s="272">
        <f>R42*1</f>
        <v>0</v>
      </c>
    </row>
    <row r="44" spans="1:30" hidden="1">
      <c r="A44" s="385"/>
      <c r="B44" s="185"/>
      <c r="C44" s="185"/>
      <c r="D44" s="185"/>
      <c r="E44" s="185"/>
      <c r="F44" s="185"/>
      <c r="G44" s="185"/>
      <c r="H44" s="185"/>
      <c r="I44" s="185"/>
      <c r="J44" s="185"/>
      <c r="K44" s="185"/>
      <c r="L44" s="185"/>
      <c r="M44" s="185"/>
      <c r="N44" s="185"/>
      <c r="O44" s="244"/>
      <c r="P44" s="185"/>
      <c r="Q44" s="185"/>
      <c r="R44" s="244"/>
    </row>
    <row r="45" spans="1:30">
      <c r="A45" s="385"/>
      <c r="B45" s="185"/>
      <c r="C45" s="185"/>
      <c r="D45" s="185"/>
      <c r="E45" s="185"/>
      <c r="F45" s="185"/>
      <c r="G45" s="185"/>
      <c r="H45" s="185"/>
      <c r="I45" s="185"/>
      <c r="J45" s="185"/>
      <c r="K45" s="185"/>
      <c r="L45" s="185"/>
      <c r="M45" s="185"/>
      <c r="N45" s="185"/>
      <c r="O45" s="244"/>
      <c r="P45" s="185"/>
      <c r="Q45" s="185"/>
      <c r="R45" s="244"/>
    </row>
    <row r="46" spans="1:30">
      <c r="A46" s="385"/>
      <c r="B46" s="185"/>
      <c r="C46" s="185"/>
      <c r="D46" s="185"/>
      <c r="E46" s="185"/>
      <c r="F46" s="185"/>
      <c r="G46" s="185"/>
      <c r="H46" s="185"/>
      <c r="I46" s="185"/>
      <c r="J46" s="185"/>
      <c r="K46" s="185"/>
      <c r="L46" s="185"/>
      <c r="M46" s="185"/>
      <c r="N46" s="185"/>
      <c r="O46" s="244"/>
      <c r="P46" s="185"/>
      <c r="Q46" s="185"/>
      <c r="R46" s="244"/>
    </row>
    <row r="47" spans="1:30">
      <c r="A47" s="385"/>
      <c r="B47" s="185"/>
      <c r="C47" s="185"/>
      <c r="D47" s="185"/>
      <c r="E47" s="185"/>
      <c r="F47" s="185"/>
      <c r="G47" s="185"/>
      <c r="H47" s="185"/>
      <c r="I47" s="185"/>
      <c r="J47" s="185"/>
      <c r="K47" s="185"/>
      <c r="L47" s="185"/>
      <c r="M47" s="185"/>
      <c r="N47" s="185"/>
      <c r="O47" s="244"/>
      <c r="P47" s="185"/>
      <c r="Q47" s="185"/>
      <c r="R47" s="244"/>
    </row>
    <row r="48" spans="1:30">
      <c r="A48" s="198"/>
      <c r="B48" s="1027" t="s">
        <v>390</v>
      </c>
      <c r="C48" s="1027"/>
      <c r="D48" s="1027"/>
      <c r="E48" s="1027"/>
      <c r="F48" s="1027"/>
      <c r="G48" s="1027"/>
      <c r="H48" s="1027"/>
      <c r="I48" s="416"/>
      <c r="J48" s="418"/>
      <c r="K48" s="185"/>
      <c r="L48" s="185"/>
      <c r="M48" s="184"/>
      <c r="N48" s="407"/>
      <c r="O48" s="268"/>
      <c r="P48" s="182"/>
      <c r="Q48" s="182"/>
      <c r="R48" s="294"/>
      <c r="X48" s="173"/>
      <c r="Y48" s="177"/>
      <c r="Z48" s="177"/>
      <c r="AA48" s="177"/>
      <c r="AB48" s="177"/>
      <c r="AC48" s="172"/>
      <c r="AD48" s="419"/>
    </row>
    <row r="49" spans="1:30">
      <c r="A49" s="198"/>
      <c r="B49" s="218" t="s">
        <v>384</v>
      </c>
      <c r="C49" s="416"/>
      <c r="D49" s="416"/>
      <c r="E49" s="416"/>
      <c r="F49" s="193"/>
      <c r="G49" s="407"/>
      <c r="H49" s="407"/>
      <c r="I49" s="416"/>
      <c r="J49" s="418"/>
      <c r="K49" s="185"/>
      <c r="L49" s="185"/>
      <c r="M49" s="184"/>
      <c r="N49" s="407"/>
      <c r="O49" s="268"/>
      <c r="P49" s="182"/>
      <c r="Q49" s="182"/>
      <c r="R49" s="294"/>
      <c r="X49" s="173"/>
      <c r="Y49" s="177"/>
      <c r="Z49" s="177"/>
      <c r="AA49" s="177"/>
      <c r="AB49" s="177"/>
      <c r="AC49" s="172"/>
      <c r="AD49" s="419"/>
    </row>
    <row r="50" spans="1:30">
      <c r="A50" s="198"/>
      <c r="B50" s="1019" t="s">
        <v>387</v>
      </c>
      <c r="C50" s="1019"/>
      <c r="D50" s="1019"/>
      <c r="E50" s="1019"/>
      <c r="F50" s="1019"/>
      <c r="G50" s="407"/>
      <c r="H50" s="203">
        <v>9</v>
      </c>
      <c r="I50" s="414" t="s">
        <v>1</v>
      </c>
      <c r="J50" s="203">
        <v>4</v>
      </c>
      <c r="K50" s="414" t="s">
        <v>1</v>
      </c>
      <c r="L50" s="186">
        <v>2.2000000000000002</v>
      </c>
      <c r="M50" s="190" t="s">
        <v>0</v>
      </c>
      <c r="N50" s="213">
        <f t="shared" ref="N50:N51" si="3">L50*J50*H50</f>
        <v>79.2</v>
      </c>
      <c r="O50" s="294" t="s">
        <v>13</v>
      </c>
      <c r="P50" s="182"/>
      <c r="Q50" s="182"/>
      <c r="R50" s="294"/>
      <c r="X50" s="173"/>
      <c r="Y50" s="177"/>
      <c r="Z50" s="177"/>
      <c r="AA50" s="177"/>
      <c r="AB50" s="177"/>
      <c r="AC50" s="172"/>
      <c r="AD50" s="419"/>
    </row>
    <row r="51" spans="1:30">
      <c r="A51" s="198"/>
      <c r="B51" s="1019" t="s">
        <v>388</v>
      </c>
      <c r="C51" s="1019"/>
      <c r="D51" s="1019"/>
      <c r="E51" s="1019"/>
      <c r="F51" s="1019"/>
      <c r="G51" s="407"/>
      <c r="H51" s="203">
        <f>H50</f>
        <v>9</v>
      </c>
      <c r="I51" s="414" t="s">
        <v>1</v>
      </c>
      <c r="J51" s="203">
        <v>2</v>
      </c>
      <c r="K51" s="414" t="s">
        <v>1</v>
      </c>
      <c r="L51" s="186">
        <f>L50</f>
        <v>2.2000000000000002</v>
      </c>
      <c r="M51" s="190" t="s">
        <v>0</v>
      </c>
      <c r="N51" s="213">
        <f t="shared" si="3"/>
        <v>39.6</v>
      </c>
      <c r="O51" s="294" t="s">
        <v>13</v>
      </c>
      <c r="P51" s="182"/>
      <c r="Q51" s="182"/>
      <c r="R51" s="294"/>
      <c r="X51" s="173"/>
      <c r="Y51" s="177"/>
      <c r="Z51" s="177"/>
      <c r="AA51" s="177"/>
      <c r="AB51" s="177"/>
      <c r="AC51" s="172"/>
      <c r="AD51" s="419"/>
    </row>
    <row r="52" spans="1:30">
      <c r="A52" s="198"/>
      <c r="B52" s="211"/>
      <c r="C52" s="212"/>
      <c r="D52" s="185"/>
      <c r="E52" s="185"/>
      <c r="F52" s="414"/>
      <c r="G52" s="414"/>
      <c r="H52" s="203"/>
      <c r="I52" s="414"/>
      <c r="J52" s="186"/>
      <c r="K52" s="184"/>
      <c r="L52" s="186" t="s">
        <v>8</v>
      </c>
      <c r="M52" s="190" t="s">
        <v>0</v>
      </c>
      <c r="N52" s="214">
        <f>SUM(N50:N51)</f>
        <v>118.80000000000001</v>
      </c>
      <c r="O52" s="280" t="s">
        <v>13</v>
      </c>
      <c r="P52" s="182"/>
      <c r="Q52" s="182"/>
      <c r="R52" s="294"/>
      <c r="X52" s="173"/>
      <c r="Y52" s="177"/>
      <c r="Z52" s="177"/>
      <c r="AA52" s="177"/>
      <c r="AB52" s="177"/>
      <c r="AC52" s="172"/>
      <c r="AD52" s="419"/>
    </row>
    <row r="53" spans="1:30">
      <c r="A53" s="198"/>
      <c r="B53" s="192"/>
      <c r="C53" s="192"/>
      <c r="D53" s="192"/>
      <c r="E53" s="185"/>
      <c r="F53" s="193" t="s">
        <v>350</v>
      </c>
      <c r="G53" s="407" t="s">
        <v>11</v>
      </c>
      <c r="H53" s="407">
        <v>1.58</v>
      </c>
      <c r="I53" s="1010" t="s">
        <v>353</v>
      </c>
      <c r="J53" s="1015"/>
      <c r="K53" s="185"/>
      <c r="L53" s="185"/>
      <c r="M53" s="184" t="s">
        <v>0</v>
      </c>
      <c r="N53" s="408">
        <f>H53*N52</f>
        <v>187.70400000000004</v>
      </c>
      <c r="O53" s="268" t="s">
        <v>100</v>
      </c>
      <c r="P53" s="182"/>
      <c r="Q53" s="182"/>
      <c r="R53" s="294"/>
      <c r="X53" s="173"/>
      <c r="Y53" s="177"/>
      <c r="Z53" s="177"/>
      <c r="AA53" s="177"/>
      <c r="AB53" s="177"/>
      <c r="AC53" s="172"/>
      <c r="AD53" s="419"/>
    </row>
    <row r="54" spans="1:30" ht="34.5" customHeight="1">
      <c r="A54" s="198"/>
      <c r="B54" s="1019" t="s">
        <v>385</v>
      </c>
      <c r="C54" s="1019"/>
      <c r="D54" s="1019"/>
      <c r="E54" s="1019"/>
      <c r="F54" s="1019"/>
      <c r="G54" s="1019"/>
      <c r="H54" s="203">
        <f>H50</f>
        <v>9</v>
      </c>
      <c r="I54" s="414" t="s">
        <v>1</v>
      </c>
      <c r="J54" s="203">
        <f>L50/0.1</f>
        <v>22</v>
      </c>
      <c r="K54" s="414" t="s">
        <v>1</v>
      </c>
      <c r="L54" s="186">
        <v>1.5</v>
      </c>
      <c r="M54" s="190" t="s">
        <v>0</v>
      </c>
      <c r="N54" s="213">
        <f>L54*J54*H54</f>
        <v>297</v>
      </c>
      <c r="O54" s="404" t="s">
        <v>13</v>
      </c>
      <c r="P54" s="182"/>
      <c r="Q54" s="182"/>
      <c r="R54" s="294"/>
      <c r="X54" s="173"/>
      <c r="Y54" s="177"/>
      <c r="Z54" s="177"/>
      <c r="AA54" s="177"/>
      <c r="AB54" s="177"/>
      <c r="AC54" s="172"/>
      <c r="AD54" s="419"/>
    </row>
    <row r="55" spans="1:30">
      <c r="A55" s="198"/>
      <c r="B55" s="211"/>
      <c r="C55" s="212"/>
      <c r="D55" s="185"/>
      <c r="E55" s="185"/>
      <c r="F55" s="414"/>
      <c r="G55" s="414"/>
      <c r="H55" s="203"/>
      <c r="I55" s="414"/>
      <c r="J55" s="186"/>
      <c r="K55" s="184"/>
      <c r="L55" s="186" t="s">
        <v>8</v>
      </c>
      <c r="M55" s="190" t="s">
        <v>0</v>
      </c>
      <c r="N55" s="214">
        <f>SUM(N54)</f>
        <v>297</v>
      </c>
      <c r="O55" s="280" t="s">
        <v>13</v>
      </c>
      <c r="P55" s="182"/>
      <c r="Q55" s="182"/>
      <c r="R55" s="294"/>
      <c r="X55" s="173"/>
      <c r="Y55" s="177"/>
      <c r="Z55" s="177"/>
      <c r="AA55" s="177"/>
      <c r="AB55" s="177"/>
      <c r="AC55" s="172"/>
      <c r="AD55" s="419"/>
    </row>
    <row r="56" spans="1:30">
      <c r="A56" s="198"/>
      <c r="B56" s="192"/>
      <c r="C56" s="192"/>
      <c r="D56" s="192"/>
      <c r="E56" s="185"/>
      <c r="F56" s="193" t="s">
        <v>350</v>
      </c>
      <c r="G56" s="407" t="s">
        <v>11</v>
      </c>
      <c r="H56" s="407">
        <v>0.39</v>
      </c>
      <c r="I56" s="1010" t="s">
        <v>353</v>
      </c>
      <c r="J56" s="1015"/>
      <c r="K56" s="185"/>
      <c r="L56" s="185"/>
      <c r="M56" s="184" t="s">
        <v>0</v>
      </c>
      <c r="N56" s="407">
        <f>H56*N55</f>
        <v>115.83</v>
      </c>
      <c r="O56" s="268" t="s">
        <v>100</v>
      </c>
      <c r="P56" s="182"/>
      <c r="Q56" s="182"/>
      <c r="R56" s="294"/>
      <c r="X56" s="173"/>
      <c r="Y56" s="177"/>
      <c r="Z56" s="177"/>
      <c r="AA56" s="177"/>
      <c r="AB56" s="177"/>
      <c r="AC56" s="172"/>
      <c r="AD56" s="419"/>
    </row>
    <row r="57" spans="1:30">
      <c r="A57" s="198"/>
      <c r="B57" s="192"/>
      <c r="C57" s="192"/>
      <c r="D57" s="192"/>
      <c r="E57" s="185"/>
      <c r="F57" s="193"/>
      <c r="G57" s="407"/>
      <c r="H57" s="407"/>
      <c r="I57" s="416"/>
      <c r="J57" s="418"/>
      <c r="K57" s="185"/>
      <c r="L57" s="185"/>
      <c r="M57" s="184"/>
      <c r="N57" s="407"/>
      <c r="O57" s="268"/>
      <c r="P57" s="182"/>
      <c r="Q57" s="182"/>
      <c r="R57" s="294"/>
      <c r="X57" s="173"/>
      <c r="Y57" s="177"/>
      <c r="Z57" s="177"/>
      <c r="AA57" s="177"/>
      <c r="AB57" s="177"/>
      <c r="AC57" s="172"/>
      <c r="AD57" s="419"/>
    </row>
    <row r="58" spans="1:30">
      <c r="A58" s="198"/>
      <c r="B58" s="192"/>
      <c r="C58" s="192"/>
      <c r="D58" s="192"/>
      <c r="E58" s="185"/>
      <c r="F58" s="193"/>
      <c r="G58" s="407"/>
      <c r="H58" s="407"/>
      <c r="I58" s="416"/>
      <c r="J58" s="418"/>
      <c r="K58" s="185"/>
      <c r="L58" s="185"/>
      <c r="M58" s="184"/>
      <c r="N58" s="407"/>
      <c r="O58" s="268"/>
      <c r="P58" s="182"/>
      <c r="Q58" s="182"/>
      <c r="R58" s="294"/>
      <c r="X58" s="173"/>
      <c r="Y58" s="177"/>
      <c r="Z58" s="177"/>
      <c r="AA58" s="177"/>
      <c r="AB58" s="177"/>
      <c r="AC58" s="172"/>
      <c r="AD58" s="419"/>
    </row>
    <row r="59" spans="1:30" ht="23.25" customHeight="1">
      <c r="A59" s="198"/>
      <c r="B59" s="1023" t="s">
        <v>391</v>
      </c>
      <c r="C59" s="1023"/>
      <c r="D59" s="1023"/>
      <c r="E59" s="1023"/>
      <c r="F59" s="1023"/>
      <c r="G59" s="1023"/>
      <c r="H59" s="1023"/>
      <c r="I59" s="1023"/>
      <c r="J59" s="418"/>
      <c r="K59" s="185"/>
      <c r="L59" s="185"/>
      <c r="M59" s="184"/>
      <c r="N59" s="407"/>
      <c r="O59" s="157"/>
      <c r="R59" s="157"/>
      <c r="X59" s="173"/>
      <c r="Y59" s="177"/>
      <c r="Z59" s="177"/>
      <c r="AA59" s="177"/>
      <c r="AB59" s="177"/>
      <c r="AC59" s="172"/>
      <c r="AD59" s="419"/>
    </row>
    <row r="60" spans="1:30">
      <c r="A60" s="198"/>
      <c r="B60" s="1025" t="s">
        <v>452</v>
      </c>
      <c r="C60" s="1025"/>
      <c r="D60" s="1025"/>
      <c r="E60" s="1025"/>
      <c r="F60" s="1025"/>
      <c r="G60" s="1025"/>
      <c r="H60" s="1025"/>
      <c r="I60" s="1025"/>
      <c r="J60" s="1025"/>
      <c r="K60" s="1025"/>
      <c r="L60" s="1025"/>
      <c r="M60" s="184"/>
      <c r="N60" s="407"/>
      <c r="O60" s="268"/>
      <c r="P60" s="182"/>
      <c r="Q60" s="182"/>
      <c r="R60" s="294"/>
      <c r="X60" s="173"/>
      <c r="Y60" s="177"/>
      <c r="Z60" s="177"/>
      <c r="AA60" s="177"/>
      <c r="AB60" s="177"/>
      <c r="AC60" s="172"/>
      <c r="AD60" s="419"/>
    </row>
    <row r="61" spans="1:30">
      <c r="A61" s="198"/>
      <c r="B61" s="1014" t="s">
        <v>392</v>
      </c>
      <c r="C61" s="1014"/>
      <c r="D61" s="1014"/>
      <c r="E61" s="1014"/>
      <c r="F61" s="1014"/>
      <c r="G61" s="407"/>
      <c r="H61" s="203">
        <v>1</v>
      </c>
      <c r="I61" s="414" t="s">
        <v>1</v>
      </c>
      <c r="J61" s="203">
        <f>L62/0.1</f>
        <v>104</v>
      </c>
      <c r="K61" s="414" t="s">
        <v>1</v>
      </c>
      <c r="L61" s="186">
        <v>6.1</v>
      </c>
      <c r="M61" s="190" t="s">
        <v>0</v>
      </c>
      <c r="N61" s="213">
        <f t="shared" ref="N61:N68" si="4">L61*J61*H61</f>
        <v>634.4</v>
      </c>
      <c r="O61" s="294" t="s">
        <v>13</v>
      </c>
      <c r="P61" s="182"/>
      <c r="Q61" s="182"/>
      <c r="R61" s="294"/>
      <c r="X61" s="173"/>
      <c r="Y61" s="177"/>
      <c r="Z61" s="177"/>
      <c r="AA61" s="177"/>
      <c r="AB61" s="177"/>
      <c r="AC61" s="172"/>
      <c r="AD61" s="419"/>
    </row>
    <row r="62" spans="1:30" ht="15" customHeight="1">
      <c r="A62" s="198"/>
      <c r="B62" s="1014" t="s">
        <v>393</v>
      </c>
      <c r="C62" s="1014"/>
      <c r="D62" s="1014"/>
      <c r="E62" s="1014"/>
      <c r="F62" s="1014"/>
      <c r="G62" s="407"/>
      <c r="H62" s="203">
        <v>1</v>
      </c>
      <c r="I62" s="414" t="s">
        <v>1</v>
      </c>
      <c r="J62" s="203">
        <f>L61/0.1</f>
        <v>60.999999999999993</v>
      </c>
      <c r="K62" s="414" t="s">
        <v>1</v>
      </c>
      <c r="L62" s="186">
        <v>10.4</v>
      </c>
      <c r="M62" s="190" t="s">
        <v>0</v>
      </c>
      <c r="N62" s="213">
        <f t="shared" si="4"/>
        <v>634.4</v>
      </c>
      <c r="O62" s="294" t="s">
        <v>13</v>
      </c>
      <c r="P62" s="182"/>
      <c r="Q62" s="182"/>
      <c r="R62" s="294"/>
      <c r="X62" s="173"/>
      <c r="Y62" s="177"/>
      <c r="Z62" s="177"/>
      <c r="AA62" s="177"/>
      <c r="AB62" s="177"/>
      <c r="AC62" s="172"/>
      <c r="AD62" s="419"/>
    </row>
    <row r="63" spans="1:30" s="369" customFormat="1" ht="29.25" customHeight="1">
      <c r="A63" s="198"/>
      <c r="B63" s="1017" t="s">
        <v>394</v>
      </c>
      <c r="C63" s="1017"/>
      <c r="D63" s="1017"/>
      <c r="E63" s="1017"/>
      <c r="F63" s="1017"/>
      <c r="G63" s="405"/>
      <c r="H63" s="357">
        <v>1</v>
      </c>
      <c r="I63" s="263" t="s">
        <v>1</v>
      </c>
      <c r="J63" s="357">
        <f>L64/0.2</f>
        <v>52</v>
      </c>
      <c r="K63" s="263" t="s">
        <v>1</v>
      </c>
      <c r="L63" s="358">
        <f>L61</f>
        <v>6.1</v>
      </c>
      <c r="M63" s="260" t="s">
        <v>0</v>
      </c>
      <c r="N63" s="367">
        <f t="shared" si="4"/>
        <v>317.2</v>
      </c>
      <c r="O63" s="294" t="s">
        <v>13</v>
      </c>
      <c r="P63" s="368"/>
      <c r="Q63" s="368"/>
      <c r="R63" s="294"/>
      <c r="X63" s="173"/>
      <c r="Y63" s="370"/>
      <c r="Z63" s="370"/>
      <c r="AA63" s="370"/>
      <c r="AB63" s="370"/>
      <c r="AC63" s="371"/>
      <c r="AD63" s="372"/>
    </row>
    <row r="64" spans="1:30" ht="15" customHeight="1">
      <c r="A64" s="198"/>
      <c r="B64" s="1017" t="s">
        <v>393</v>
      </c>
      <c r="C64" s="1017"/>
      <c r="D64" s="1017"/>
      <c r="E64" s="1017"/>
      <c r="F64" s="1017"/>
      <c r="G64" s="407"/>
      <c r="H64" s="203">
        <v>1</v>
      </c>
      <c r="I64" s="414" t="s">
        <v>1</v>
      </c>
      <c r="J64" s="203">
        <f>L63/0.2</f>
        <v>30.499999999999996</v>
      </c>
      <c r="K64" s="414" t="s">
        <v>1</v>
      </c>
      <c r="L64" s="186">
        <f>L62</f>
        <v>10.4</v>
      </c>
      <c r="M64" s="190" t="s">
        <v>0</v>
      </c>
      <c r="N64" s="213">
        <f t="shared" si="4"/>
        <v>317.2</v>
      </c>
      <c r="O64" s="294" t="s">
        <v>13</v>
      </c>
      <c r="P64" s="182"/>
      <c r="Q64" s="182"/>
      <c r="R64" s="294"/>
      <c r="X64" s="173"/>
      <c r="Y64" s="177"/>
      <c r="Z64" s="177"/>
      <c r="AA64" s="177"/>
      <c r="AB64" s="177"/>
      <c r="AC64" s="172"/>
      <c r="AD64" s="419"/>
    </row>
    <row r="65" spans="1:30" s="369" customFormat="1" ht="29.25" customHeight="1">
      <c r="A65" s="198"/>
      <c r="B65" s="1017" t="s">
        <v>395</v>
      </c>
      <c r="C65" s="1017"/>
      <c r="D65" s="1017"/>
      <c r="E65" s="1017"/>
      <c r="F65" s="1017"/>
      <c r="G65" s="405"/>
      <c r="H65" s="357">
        <v>1</v>
      </c>
      <c r="I65" s="263" t="s">
        <v>1</v>
      </c>
      <c r="J65" s="357">
        <f>L66/0.2</f>
        <v>52</v>
      </c>
      <c r="K65" s="263" t="s">
        <v>1</v>
      </c>
      <c r="L65" s="358">
        <f>L61</f>
        <v>6.1</v>
      </c>
      <c r="M65" s="260" t="s">
        <v>0</v>
      </c>
      <c r="N65" s="367">
        <f t="shared" si="4"/>
        <v>317.2</v>
      </c>
      <c r="O65" s="294" t="s">
        <v>13</v>
      </c>
      <c r="P65" s="368"/>
      <c r="Q65" s="368"/>
      <c r="R65" s="294"/>
      <c r="X65" s="173"/>
      <c r="Y65" s="370"/>
      <c r="Z65" s="370"/>
      <c r="AA65" s="370"/>
      <c r="AB65" s="370"/>
      <c r="AC65" s="371"/>
      <c r="AD65" s="372"/>
    </row>
    <row r="66" spans="1:30" ht="15" customHeight="1">
      <c r="A66" s="198"/>
      <c r="B66" s="1017" t="s">
        <v>393</v>
      </c>
      <c r="C66" s="1017"/>
      <c r="D66" s="1017"/>
      <c r="E66" s="1017"/>
      <c r="F66" s="1017"/>
      <c r="G66" s="407"/>
      <c r="H66" s="203">
        <v>1</v>
      </c>
      <c r="I66" s="414" t="s">
        <v>1</v>
      </c>
      <c r="J66" s="203">
        <f>L65/0.2</f>
        <v>30.499999999999996</v>
      </c>
      <c r="K66" s="414" t="s">
        <v>1</v>
      </c>
      <c r="L66" s="186">
        <f>L62</f>
        <v>10.4</v>
      </c>
      <c r="M66" s="190" t="s">
        <v>0</v>
      </c>
      <c r="N66" s="213">
        <f t="shared" si="4"/>
        <v>317.2</v>
      </c>
      <c r="O66" s="294" t="s">
        <v>13</v>
      </c>
      <c r="P66" s="182"/>
      <c r="Q66" s="182"/>
      <c r="R66" s="294"/>
      <c r="X66" s="173"/>
      <c r="Y66" s="177"/>
      <c r="Z66" s="177"/>
      <c r="AA66" s="177"/>
      <c r="AB66" s="177"/>
      <c r="AC66" s="172"/>
      <c r="AD66" s="419"/>
    </row>
    <row r="67" spans="1:30" ht="21" customHeight="1">
      <c r="A67" s="198"/>
      <c r="B67" s="350" t="s">
        <v>396</v>
      </c>
      <c r="C67" s="350"/>
      <c r="D67" s="350"/>
      <c r="E67" s="350"/>
      <c r="F67" s="350"/>
      <c r="G67" s="407"/>
      <c r="H67" s="203">
        <v>1</v>
      </c>
      <c r="I67" s="414" t="s">
        <v>1</v>
      </c>
      <c r="J67" s="203">
        <f>L68/0.2</f>
        <v>52</v>
      </c>
      <c r="K67" s="414" t="s">
        <v>1</v>
      </c>
      <c r="L67" s="186">
        <f>L61</f>
        <v>6.1</v>
      </c>
      <c r="M67" s="190" t="s">
        <v>0</v>
      </c>
      <c r="N67" s="213">
        <f t="shared" si="4"/>
        <v>317.2</v>
      </c>
      <c r="O67" s="294" t="s">
        <v>13</v>
      </c>
      <c r="P67" s="182"/>
      <c r="Q67" s="182"/>
      <c r="R67" s="294"/>
      <c r="X67" s="173"/>
      <c r="Y67" s="177"/>
      <c r="Z67" s="177"/>
      <c r="AA67" s="177"/>
      <c r="AB67" s="177"/>
      <c r="AC67" s="172"/>
      <c r="AD67" s="419"/>
    </row>
    <row r="68" spans="1:30" ht="15" customHeight="1">
      <c r="A68" s="198"/>
      <c r="B68" s="1017" t="s">
        <v>393</v>
      </c>
      <c r="C68" s="1017"/>
      <c r="D68" s="1017"/>
      <c r="E68" s="1017"/>
      <c r="F68" s="1017"/>
      <c r="G68" s="407"/>
      <c r="H68" s="203">
        <v>1</v>
      </c>
      <c r="I68" s="414" t="s">
        <v>1</v>
      </c>
      <c r="J68" s="203">
        <f>L67/0.2</f>
        <v>30.499999999999996</v>
      </c>
      <c r="K68" s="414" t="s">
        <v>1</v>
      </c>
      <c r="L68" s="186">
        <f>L62</f>
        <v>10.4</v>
      </c>
      <c r="M68" s="190" t="s">
        <v>0</v>
      </c>
      <c r="N68" s="213">
        <f t="shared" si="4"/>
        <v>317.2</v>
      </c>
      <c r="O68" s="294" t="s">
        <v>13</v>
      </c>
      <c r="P68" s="182"/>
      <c r="Q68" s="182"/>
      <c r="R68" s="294"/>
      <c r="X68" s="173"/>
      <c r="Y68" s="177"/>
      <c r="Z68" s="177"/>
      <c r="AA68" s="177"/>
      <c r="AB68" s="177"/>
      <c r="AC68" s="172"/>
      <c r="AD68" s="419"/>
    </row>
    <row r="69" spans="1:30" ht="15" customHeight="1">
      <c r="A69" s="198"/>
      <c r="B69" s="411"/>
      <c r="C69" s="411"/>
      <c r="D69" s="411"/>
      <c r="E69" s="411"/>
      <c r="F69" s="411"/>
      <c r="G69" s="407"/>
      <c r="H69" s="203"/>
      <c r="I69" s="414"/>
      <c r="J69" s="203"/>
      <c r="K69" s="414"/>
      <c r="L69" s="186"/>
      <c r="M69" s="190"/>
      <c r="N69" s="213"/>
      <c r="O69" s="294"/>
      <c r="P69" s="182"/>
      <c r="Q69" s="182"/>
      <c r="R69" s="294"/>
      <c r="X69" s="173"/>
      <c r="Y69" s="177"/>
      <c r="Z69" s="177"/>
      <c r="AA69" s="177"/>
      <c r="AB69" s="177"/>
      <c r="AC69" s="172"/>
      <c r="AD69" s="419"/>
    </row>
    <row r="70" spans="1:30" ht="15" customHeight="1">
      <c r="A70" s="198"/>
      <c r="B70" s="411"/>
      <c r="C70" s="411"/>
      <c r="D70" s="411"/>
      <c r="E70" s="411"/>
      <c r="F70" s="411"/>
      <c r="G70" s="407"/>
      <c r="H70" s="203"/>
      <c r="I70" s="414"/>
      <c r="J70" s="203"/>
      <c r="K70" s="414"/>
      <c r="L70" s="186"/>
      <c r="M70" s="190"/>
      <c r="N70" s="213"/>
      <c r="O70" s="294"/>
      <c r="P70" s="182"/>
      <c r="Q70" s="182"/>
      <c r="R70" s="294"/>
      <c r="X70" s="173"/>
      <c r="Y70" s="177"/>
      <c r="Z70" s="177"/>
      <c r="AA70" s="177"/>
      <c r="AB70" s="177"/>
      <c r="AC70" s="172"/>
      <c r="AD70" s="419"/>
    </row>
    <row r="71" spans="1:30" ht="15" customHeight="1">
      <c r="A71" s="198"/>
      <c r="B71" s="411"/>
      <c r="C71" s="411"/>
      <c r="D71" s="411"/>
      <c r="E71" s="411"/>
      <c r="F71" s="411"/>
      <c r="G71" s="407"/>
      <c r="H71" s="203"/>
      <c r="I71" s="414"/>
      <c r="J71" s="203"/>
      <c r="K71" s="414"/>
      <c r="L71" s="186"/>
      <c r="M71" s="190"/>
      <c r="N71" s="213"/>
      <c r="O71" s="294"/>
      <c r="P71" s="182"/>
      <c r="Q71" s="182"/>
      <c r="R71" s="294"/>
      <c r="X71" s="173"/>
      <c r="Y71" s="177"/>
      <c r="Z71" s="177"/>
      <c r="AA71" s="177"/>
      <c r="AB71" s="177"/>
      <c r="AC71" s="172"/>
      <c r="AD71" s="419"/>
    </row>
    <row r="72" spans="1:30" ht="15" customHeight="1">
      <c r="A72" s="198"/>
      <c r="B72" s="1025" t="s">
        <v>451</v>
      </c>
      <c r="C72" s="1025"/>
      <c r="D72" s="1025"/>
      <c r="E72" s="1025"/>
      <c r="F72" s="1025"/>
      <c r="G72" s="1025"/>
      <c r="H72" s="1025"/>
      <c r="I72" s="1025"/>
      <c r="J72" s="1025"/>
      <c r="K72" s="1025"/>
      <c r="L72" s="1025"/>
      <c r="M72" s="184"/>
      <c r="N72" s="407"/>
      <c r="O72" s="268"/>
      <c r="P72" s="182"/>
      <c r="Q72" s="182"/>
      <c r="R72" s="294"/>
      <c r="X72" s="173"/>
      <c r="Y72" s="177"/>
      <c r="Z72" s="177"/>
      <c r="AA72" s="177"/>
      <c r="AB72" s="177"/>
      <c r="AC72" s="172"/>
      <c r="AD72" s="419"/>
    </row>
    <row r="73" spans="1:30" ht="17.25" customHeight="1">
      <c r="A73" s="198"/>
      <c r="B73" s="1014" t="s">
        <v>392</v>
      </c>
      <c r="C73" s="1014"/>
      <c r="D73" s="1014"/>
      <c r="E73" s="1014"/>
      <c r="F73" s="1014"/>
      <c r="G73" s="407"/>
      <c r="H73" s="203">
        <v>1</v>
      </c>
      <c r="I73" s="414" t="s">
        <v>1</v>
      </c>
      <c r="J73" s="203">
        <f>L74/0.1</f>
        <v>151.99999999999997</v>
      </c>
      <c r="K73" s="414" t="s">
        <v>1</v>
      </c>
      <c r="L73" s="186">
        <v>6.1</v>
      </c>
      <c r="M73" s="190" t="s">
        <v>0</v>
      </c>
      <c r="N73" s="213">
        <f t="shared" ref="N73:N80" si="5">L73*J73*H73</f>
        <v>927.19999999999982</v>
      </c>
      <c r="O73" s="294" t="s">
        <v>13</v>
      </c>
      <c r="P73" s="182"/>
      <c r="Q73" s="182"/>
      <c r="R73" s="294"/>
      <c r="X73" s="173"/>
      <c r="Y73" s="177"/>
      <c r="Z73" s="177"/>
      <c r="AA73" s="177"/>
      <c r="AB73" s="177"/>
      <c r="AC73" s="172"/>
      <c r="AD73" s="419"/>
    </row>
    <row r="74" spans="1:30" ht="17.25" customHeight="1">
      <c r="A74" s="198"/>
      <c r="B74" s="1014" t="s">
        <v>393</v>
      </c>
      <c r="C74" s="1014"/>
      <c r="D74" s="1014"/>
      <c r="E74" s="1014"/>
      <c r="F74" s="1014"/>
      <c r="G74" s="407"/>
      <c r="H74" s="203">
        <v>1</v>
      </c>
      <c r="I74" s="414" t="s">
        <v>1</v>
      </c>
      <c r="J74" s="203">
        <f>L73/0.1</f>
        <v>60.999999999999993</v>
      </c>
      <c r="K74" s="414" t="s">
        <v>1</v>
      </c>
      <c r="L74" s="186">
        <v>15.2</v>
      </c>
      <c r="M74" s="190" t="s">
        <v>0</v>
      </c>
      <c r="N74" s="213">
        <f t="shared" si="5"/>
        <v>927.19999999999982</v>
      </c>
      <c r="O74" s="294" t="s">
        <v>13</v>
      </c>
      <c r="P74" s="182"/>
      <c r="Q74" s="182"/>
      <c r="R74" s="294"/>
      <c r="X74" s="173"/>
      <c r="Y74" s="177"/>
      <c r="Z74" s="177"/>
      <c r="AA74" s="177"/>
      <c r="AB74" s="177"/>
      <c r="AC74" s="172"/>
      <c r="AD74" s="419"/>
    </row>
    <row r="75" spans="1:30" s="369" customFormat="1" ht="33.75" customHeight="1">
      <c r="A75" s="198"/>
      <c r="B75" s="1017" t="s">
        <v>394</v>
      </c>
      <c r="C75" s="1017"/>
      <c r="D75" s="1017"/>
      <c r="E75" s="1017"/>
      <c r="F75" s="1017"/>
      <c r="G75" s="405"/>
      <c r="H75" s="357">
        <v>1</v>
      </c>
      <c r="I75" s="263" t="s">
        <v>1</v>
      </c>
      <c r="J75" s="357">
        <f>L76/0.2</f>
        <v>75.999999999999986</v>
      </c>
      <c r="K75" s="263" t="s">
        <v>1</v>
      </c>
      <c r="L75" s="358">
        <f>L73</f>
        <v>6.1</v>
      </c>
      <c r="M75" s="260" t="s">
        <v>0</v>
      </c>
      <c r="N75" s="367">
        <f t="shared" si="5"/>
        <v>463.59999999999991</v>
      </c>
      <c r="O75" s="294" t="s">
        <v>13</v>
      </c>
      <c r="P75" s="368"/>
      <c r="Q75" s="368"/>
      <c r="R75" s="294"/>
      <c r="X75" s="173"/>
      <c r="Y75" s="370"/>
      <c r="Z75" s="370"/>
      <c r="AA75" s="370"/>
      <c r="AB75" s="370"/>
      <c r="AC75" s="371"/>
      <c r="AD75" s="372"/>
    </row>
    <row r="76" spans="1:30" ht="17.25" customHeight="1">
      <c r="A76" s="198"/>
      <c r="B76" s="1017" t="s">
        <v>393</v>
      </c>
      <c r="C76" s="1017"/>
      <c r="D76" s="1017"/>
      <c r="E76" s="1017"/>
      <c r="F76" s="1017"/>
      <c r="G76" s="407"/>
      <c r="H76" s="203">
        <v>1</v>
      </c>
      <c r="I76" s="414" t="s">
        <v>1</v>
      </c>
      <c r="J76" s="203">
        <f>L75/0.2</f>
        <v>30.499999999999996</v>
      </c>
      <c r="K76" s="414" t="s">
        <v>1</v>
      </c>
      <c r="L76" s="186">
        <f>L74</f>
        <v>15.2</v>
      </c>
      <c r="M76" s="190" t="s">
        <v>0</v>
      </c>
      <c r="N76" s="213">
        <f t="shared" si="5"/>
        <v>463.59999999999991</v>
      </c>
      <c r="O76" s="294" t="s">
        <v>13</v>
      </c>
      <c r="P76" s="182"/>
      <c r="Q76" s="182"/>
      <c r="R76" s="294"/>
      <c r="X76" s="173"/>
      <c r="Y76" s="177"/>
      <c r="Z76" s="177"/>
      <c r="AA76" s="177"/>
      <c r="AB76" s="177"/>
      <c r="AC76" s="172"/>
      <c r="AD76" s="419"/>
    </row>
    <row r="77" spans="1:30" s="369" customFormat="1" ht="32.25" customHeight="1">
      <c r="A77" s="198"/>
      <c r="B77" s="1017" t="s">
        <v>395</v>
      </c>
      <c r="C77" s="1017"/>
      <c r="D77" s="1017"/>
      <c r="E77" s="1017"/>
      <c r="F77" s="1017"/>
      <c r="G77" s="405"/>
      <c r="H77" s="357">
        <v>1</v>
      </c>
      <c r="I77" s="263" t="s">
        <v>1</v>
      </c>
      <c r="J77" s="357">
        <f>L78/0.2</f>
        <v>75.999999999999986</v>
      </c>
      <c r="K77" s="263" t="s">
        <v>1</v>
      </c>
      <c r="L77" s="358">
        <f>L73</f>
        <v>6.1</v>
      </c>
      <c r="M77" s="260" t="s">
        <v>0</v>
      </c>
      <c r="N77" s="367">
        <f t="shared" si="5"/>
        <v>463.59999999999991</v>
      </c>
      <c r="O77" s="294" t="s">
        <v>13</v>
      </c>
      <c r="P77" s="368"/>
      <c r="Q77" s="368"/>
      <c r="R77" s="294"/>
      <c r="X77" s="173"/>
      <c r="Y77" s="370"/>
      <c r="Z77" s="370"/>
      <c r="AA77" s="370"/>
      <c r="AB77" s="370"/>
      <c r="AC77" s="371"/>
      <c r="AD77" s="372"/>
    </row>
    <row r="78" spans="1:30" ht="17.25" customHeight="1">
      <c r="A78" s="198"/>
      <c r="B78" s="1017" t="s">
        <v>393</v>
      </c>
      <c r="C78" s="1017"/>
      <c r="D78" s="1017"/>
      <c r="E78" s="1017"/>
      <c r="F78" s="1017"/>
      <c r="G78" s="407"/>
      <c r="H78" s="203">
        <v>1</v>
      </c>
      <c r="I78" s="414" t="s">
        <v>1</v>
      </c>
      <c r="J78" s="203">
        <f>L77/0.2</f>
        <v>30.499999999999996</v>
      </c>
      <c r="K78" s="414" t="s">
        <v>1</v>
      </c>
      <c r="L78" s="186">
        <f>L74</f>
        <v>15.2</v>
      </c>
      <c r="M78" s="190" t="s">
        <v>0</v>
      </c>
      <c r="N78" s="213">
        <f t="shared" si="5"/>
        <v>463.59999999999991</v>
      </c>
      <c r="O78" s="294" t="s">
        <v>13</v>
      </c>
      <c r="P78" s="182"/>
      <c r="Q78" s="182"/>
      <c r="R78" s="294"/>
      <c r="X78" s="173"/>
      <c r="Y78" s="177"/>
      <c r="Z78" s="177"/>
      <c r="AA78" s="177"/>
      <c r="AB78" s="177"/>
      <c r="AC78" s="172"/>
      <c r="AD78" s="419"/>
    </row>
    <row r="79" spans="1:30" ht="17.25" customHeight="1">
      <c r="A79" s="198"/>
      <c r="B79" s="1014" t="s">
        <v>396</v>
      </c>
      <c r="C79" s="1014"/>
      <c r="D79" s="1014"/>
      <c r="E79" s="1014"/>
      <c r="F79" s="1014"/>
      <c r="G79" s="407"/>
      <c r="H79" s="203">
        <v>1</v>
      </c>
      <c r="I79" s="414" t="s">
        <v>1</v>
      </c>
      <c r="J79" s="203">
        <f>L80/0.2</f>
        <v>75.999999999999986</v>
      </c>
      <c r="K79" s="414" t="s">
        <v>1</v>
      </c>
      <c r="L79" s="186">
        <f>L73</f>
        <v>6.1</v>
      </c>
      <c r="M79" s="190" t="s">
        <v>0</v>
      </c>
      <c r="N79" s="213">
        <f t="shared" si="5"/>
        <v>463.59999999999991</v>
      </c>
      <c r="O79" s="294" t="s">
        <v>13</v>
      </c>
      <c r="P79" s="182"/>
      <c r="Q79" s="182"/>
      <c r="R79" s="294"/>
      <c r="X79" s="173"/>
      <c r="Y79" s="177"/>
      <c r="Z79" s="177"/>
      <c r="AA79" s="177"/>
      <c r="AB79" s="177"/>
      <c r="AC79" s="172"/>
      <c r="AD79" s="419"/>
    </row>
    <row r="80" spans="1:30" ht="17.25" customHeight="1">
      <c r="A80" s="198"/>
      <c r="B80" s="1017" t="s">
        <v>393</v>
      </c>
      <c r="C80" s="1017"/>
      <c r="D80" s="1017"/>
      <c r="E80" s="1017"/>
      <c r="F80" s="1017"/>
      <c r="G80" s="407"/>
      <c r="H80" s="203">
        <v>1</v>
      </c>
      <c r="I80" s="414" t="s">
        <v>1</v>
      </c>
      <c r="J80" s="203">
        <f>L79/0.2</f>
        <v>30.499999999999996</v>
      </c>
      <c r="K80" s="414" t="s">
        <v>1</v>
      </c>
      <c r="L80" s="186">
        <f>L74</f>
        <v>15.2</v>
      </c>
      <c r="M80" s="190" t="s">
        <v>0</v>
      </c>
      <c r="N80" s="213">
        <f t="shared" si="5"/>
        <v>463.59999999999991</v>
      </c>
      <c r="O80" s="294" t="s">
        <v>13</v>
      </c>
      <c r="P80" s="182"/>
      <c r="Q80" s="182"/>
      <c r="R80" s="294"/>
      <c r="X80" s="173"/>
      <c r="Y80" s="177"/>
      <c r="Z80" s="177"/>
      <c r="AA80" s="177"/>
      <c r="AB80" s="177"/>
      <c r="AC80" s="172"/>
      <c r="AD80" s="419"/>
    </row>
    <row r="81" spans="1:30" ht="15" customHeight="1">
      <c r="A81" s="198"/>
      <c r="B81" s="411"/>
      <c r="C81" s="411"/>
      <c r="D81" s="411"/>
      <c r="E81" s="411"/>
      <c r="F81" s="411"/>
      <c r="G81" s="407"/>
      <c r="H81" s="203"/>
      <c r="I81" s="414"/>
      <c r="J81" s="203"/>
      <c r="K81" s="414"/>
      <c r="L81" s="186"/>
      <c r="M81" s="190"/>
      <c r="N81" s="213"/>
      <c r="O81" s="294"/>
      <c r="P81" s="182"/>
      <c r="Q81" s="182"/>
      <c r="R81" s="294"/>
      <c r="X81" s="173"/>
      <c r="Y81" s="177"/>
      <c r="Z81" s="177"/>
      <c r="AA81" s="177"/>
      <c r="AB81" s="177"/>
      <c r="AC81" s="172"/>
      <c r="AD81" s="419"/>
    </row>
    <row r="82" spans="1:30" ht="15" customHeight="1">
      <c r="A82" s="198"/>
      <c r="B82" s="411"/>
      <c r="C82" s="411"/>
      <c r="D82" s="411"/>
      <c r="E82" s="411"/>
      <c r="F82" s="411"/>
      <c r="G82" s="407"/>
      <c r="H82" s="203"/>
      <c r="I82" s="414"/>
      <c r="J82" s="203"/>
      <c r="K82" s="414"/>
      <c r="L82" s="186"/>
      <c r="M82" s="190"/>
      <c r="N82" s="213"/>
      <c r="O82" s="294"/>
      <c r="P82" s="182"/>
      <c r="Q82" s="182"/>
      <c r="R82" s="294"/>
      <c r="X82" s="173"/>
      <c r="Y82" s="177"/>
      <c r="Z82" s="177"/>
      <c r="AA82" s="177"/>
      <c r="AB82" s="177"/>
      <c r="AC82" s="172"/>
      <c r="AD82" s="419"/>
    </row>
    <row r="83" spans="1:30" ht="15" customHeight="1">
      <c r="A83" s="198"/>
      <c r="B83" s="411"/>
      <c r="C83" s="411"/>
      <c r="D83" s="411"/>
      <c r="E83" s="411"/>
      <c r="F83" s="411"/>
      <c r="G83" s="407"/>
      <c r="H83" s="203"/>
      <c r="I83" s="414"/>
      <c r="J83" s="203"/>
      <c r="K83" s="414"/>
      <c r="L83" s="186"/>
      <c r="M83" s="190"/>
      <c r="N83" s="213"/>
      <c r="O83" s="294"/>
      <c r="P83" s="182"/>
      <c r="Q83" s="182"/>
      <c r="R83" s="294"/>
      <c r="X83" s="173"/>
      <c r="Y83" s="177"/>
      <c r="Z83" s="177"/>
      <c r="AA83" s="177"/>
      <c r="AB83" s="177"/>
      <c r="AC83" s="172"/>
      <c r="AD83" s="419"/>
    </row>
    <row r="84" spans="1:30" ht="15" customHeight="1">
      <c r="A84" s="198"/>
      <c r="B84" s="433"/>
      <c r="C84" s="433"/>
      <c r="D84" s="433"/>
      <c r="E84" s="433"/>
      <c r="F84" s="433"/>
      <c r="G84" s="429"/>
      <c r="H84" s="203"/>
      <c r="I84" s="434"/>
      <c r="J84" s="203"/>
      <c r="K84" s="434"/>
      <c r="L84" s="186"/>
      <c r="M84" s="190"/>
      <c r="N84" s="213"/>
      <c r="O84" s="294"/>
      <c r="P84" s="182"/>
      <c r="Q84" s="182"/>
      <c r="R84" s="294"/>
      <c r="X84" s="173"/>
      <c r="Y84" s="177"/>
      <c r="Z84" s="177"/>
      <c r="AA84" s="177"/>
      <c r="AB84" s="177"/>
      <c r="AC84" s="172"/>
      <c r="AD84" s="431"/>
    </row>
    <row r="85" spans="1:30" ht="15" customHeight="1">
      <c r="A85" s="198"/>
      <c r="B85" s="411"/>
      <c r="C85" s="411"/>
      <c r="D85" s="411"/>
      <c r="E85" s="411"/>
      <c r="F85" s="411"/>
      <c r="G85" s="407"/>
      <c r="H85" s="203"/>
      <c r="I85" s="414"/>
      <c r="J85" s="203"/>
      <c r="K85" s="414"/>
      <c r="L85" s="186"/>
      <c r="M85" s="190"/>
      <c r="N85" s="213"/>
      <c r="O85" s="294"/>
      <c r="P85" s="182"/>
      <c r="Q85" s="182"/>
      <c r="R85" s="294"/>
      <c r="X85" s="173"/>
      <c r="Y85" s="177"/>
      <c r="Z85" s="177"/>
      <c r="AA85" s="177"/>
      <c r="AB85" s="177"/>
      <c r="AC85" s="172"/>
      <c r="AD85" s="419"/>
    </row>
    <row r="86" spans="1:30" ht="15" customHeight="1">
      <c r="A86" s="198"/>
      <c r="B86" s="411"/>
      <c r="C86" s="411"/>
      <c r="D86" s="411"/>
      <c r="E86" s="411"/>
      <c r="F86" s="411"/>
      <c r="G86" s="407"/>
      <c r="H86" s="203"/>
      <c r="I86" s="414"/>
      <c r="J86" s="203"/>
      <c r="K86" s="414"/>
      <c r="L86" s="186"/>
      <c r="M86" s="190"/>
      <c r="N86" s="213"/>
      <c r="O86" s="294"/>
      <c r="P86" s="182"/>
      <c r="Q86" s="182"/>
      <c r="R86" s="294"/>
      <c r="X86" s="173"/>
      <c r="Y86" s="177"/>
      <c r="Z86" s="177"/>
      <c r="AA86" s="177"/>
      <c r="AB86" s="177"/>
      <c r="AC86" s="172"/>
      <c r="AD86" s="419"/>
    </row>
    <row r="87" spans="1:30" ht="15" customHeight="1">
      <c r="A87" s="198"/>
      <c r="B87" s="411"/>
      <c r="C87" s="411"/>
      <c r="D87" s="411"/>
      <c r="E87" s="411"/>
      <c r="F87" s="411"/>
      <c r="G87" s="407"/>
      <c r="H87" s="203"/>
      <c r="I87" s="414"/>
      <c r="J87" s="203"/>
      <c r="K87" s="414"/>
      <c r="L87" s="186"/>
      <c r="M87" s="190"/>
      <c r="N87" s="213"/>
      <c r="O87" s="281" t="s">
        <v>24</v>
      </c>
      <c r="P87" s="251" t="s">
        <v>0</v>
      </c>
      <c r="Q87" s="252" t="s">
        <v>11</v>
      </c>
      <c r="R87" s="272">
        <f>SUM(R43:R86)</f>
        <v>0</v>
      </c>
      <c r="X87" s="173"/>
      <c r="Y87" s="177"/>
      <c r="Z87" s="177"/>
      <c r="AA87" s="177"/>
      <c r="AB87" s="177"/>
      <c r="AC87" s="172"/>
      <c r="AD87" s="419"/>
    </row>
    <row r="88" spans="1:30" ht="15" customHeight="1">
      <c r="A88" s="198"/>
      <c r="B88" s="411"/>
      <c r="C88" s="411"/>
      <c r="D88" s="411"/>
      <c r="E88" s="411"/>
      <c r="F88" s="411"/>
      <c r="G88" s="407"/>
      <c r="H88" s="203"/>
      <c r="I88" s="414"/>
      <c r="J88" s="203"/>
      <c r="K88" s="414"/>
      <c r="L88" s="186"/>
      <c r="M88" s="190"/>
      <c r="N88" s="213"/>
      <c r="O88" s="281" t="s">
        <v>25</v>
      </c>
      <c r="P88" s="251" t="s">
        <v>0</v>
      </c>
      <c r="Q88" s="252" t="s">
        <v>11</v>
      </c>
      <c r="R88" s="272">
        <f>R87*1</f>
        <v>0</v>
      </c>
      <c r="X88" s="173"/>
      <c r="Y88" s="177"/>
      <c r="Z88" s="177"/>
      <c r="AA88" s="177"/>
      <c r="AB88" s="177"/>
      <c r="AC88" s="172"/>
      <c r="AD88" s="419"/>
    </row>
    <row r="89" spans="1:30" ht="15" customHeight="1">
      <c r="A89" s="198"/>
      <c r="B89" s="411"/>
      <c r="C89" s="411"/>
      <c r="D89" s="411"/>
      <c r="E89" s="411"/>
      <c r="F89" s="411"/>
      <c r="G89" s="407"/>
      <c r="H89" s="203"/>
      <c r="I89" s="414"/>
      <c r="J89" s="203"/>
      <c r="K89" s="414"/>
      <c r="L89" s="186"/>
      <c r="M89" s="190"/>
      <c r="N89" s="213"/>
      <c r="O89" s="294"/>
      <c r="P89" s="182"/>
      <c r="Q89" s="182"/>
      <c r="R89" s="294"/>
      <c r="X89" s="173"/>
      <c r="Y89" s="177"/>
      <c r="Z89" s="177"/>
      <c r="AA89" s="177"/>
      <c r="AB89" s="177"/>
      <c r="AC89" s="172"/>
      <c r="AD89" s="419"/>
    </row>
    <row r="90" spans="1:30" ht="47.25" customHeight="1">
      <c r="A90" s="198"/>
      <c r="B90" s="1023" t="s">
        <v>469</v>
      </c>
      <c r="C90" s="1023"/>
      <c r="D90" s="1023"/>
      <c r="E90" s="1023"/>
      <c r="F90" s="1023"/>
      <c r="G90" s="1023"/>
      <c r="H90" s="1023"/>
      <c r="I90" s="416"/>
      <c r="J90" s="418"/>
      <c r="K90" s="185"/>
      <c r="L90" s="185"/>
      <c r="M90" s="184"/>
      <c r="N90" s="407"/>
      <c r="O90" s="356"/>
      <c r="P90" s="182"/>
      <c r="Q90" s="182"/>
      <c r="R90" s="294"/>
      <c r="X90" s="173"/>
      <c r="Y90" s="177"/>
      <c r="Z90" s="177"/>
      <c r="AA90" s="177"/>
      <c r="AB90" s="177"/>
      <c r="AC90" s="172"/>
      <c r="AD90" s="419"/>
    </row>
    <row r="91" spans="1:30" ht="29.25" customHeight="1">
      <c r="A91" s="198"/>
      <c r="B91" s="1019" t="s">
        <v>453</v>
      </c>
      <c r="C91" s="1019"/>
      <c r="D91" s="1019"/>
      <c r="E91" s="1019"/>
      <c r="F91" s="1019"/>
      <c r="G91" s="407"/>
      <c r="H91" s="203">
        <v>2</v>
      </c>
      <c r="I91" s="414" t="s">
        <v>1</v>
      </c>
      <c r="J91" s="203">
        <v>3</v>
      </c>
      <c r="K91" s="414" t="s">
        <v>1</v>
      </c>
      <c r="L91" s="186">
        <v>3.34</v>
      </c>
      <c r="M91" s="190" t="s">
        <v>0</v>
      </c>
      <c r="N91" s="213">
        <f t="shared" ref="N91:N92" si="6">L91*J91*H91</f>
        <v>20.04</v>
      </c>
      <c r="O91" s="192" t="s">
        <v>13</v>
      </c>
      <c r="P91" s="182"/>
      <c r="Q91" s="182"/>
      <c r="R91" s="294"/>
      <c r="X91" s="173"/>
      <c r="Y91" s="177"/>
      <c r="Z91" s="177"/>
      <c r="AA91" s="177"/>
      <c r="AB91" s="177"/>
      <c r="AC91" s="172"/>
      <c r="AD91" s="419"/>
    </row>
    <row r="92" spans="1:30" ht="34.5" customHeight="1">
      <c r="A92" s="198"/>
      <c r="B92" s="1019" t="s">
        <v>454</v>
      </c>
      <c r="C92" s="1019"/>
      <c r="D92" s="1019"/>
      <c r="E92" s="1019"/>
      <c r="F92" s="1019"/>
      <c r="G92" s="407"/>
      <c r="H92" s="203">
        <v>2</v>
      </c>
      <c r="I92" s="414" t="s">
        <v>1</v>
      </c>
      <c r="J92" s="203">
        <v>2</v>
      </c>
      <c r="K92" s="414" t="s">
        <v>1</v>
      </c>
      <c r="L92" s="186">
        <v>2.2999999999999998</v>
      </c>
      <c r="M92" s="190" t="s">
        <v>0</v>
      </c>
      <c r="N92" s="213">
        <f t="shared" si="6"/>
        <v>9.1999999999999993</v>
      </c>
      <c r="O92" s="192" t="s">
        <v>13</v>
      </c>
      <c r="P92" s="182"/>
      <c r="Q92" s="182"/>
      <c r="R92" s="294"/>
      <c r="X92" s="173"/>
      <c r="Y92" s="177"/>
      <c r="Z92" s="177"/>
      <c r="AA92" s="177"/>
      <c r="AB92" s="177"/>
      <c r="AC92" s="172"/>
      <c r="AD92" s="419"/>
    </row>
    <row r="93" spans="1:30" ht="15" customHeight="1">
      <c r="A93" s="198"/>
      <c r="B93" s="1024" t="s">
        <v>455</v>
      </c>
      <c r="C93" s="1024"/>
      <c r="D93" s="1024"/>
      <c r="E93" s="1024"/>
      <c r="F93" s="1024"/>
      <c r="G93" s="407"/>
      <c r="H93" s="203"/>
      <c r="I93" s="414"/>
      <c r="J93" s="203"/>
      <c r="K93" s="414"/>
      <c r="L93" s="186"/>
      <c r="M93" s="190"/>
      <c r="N93" s="213"/>
      <c r="O93" s="192"/>
      <c r="P93" s="182"/>
      <c r="Q93" s="182"/>
      <c r="R93" s="294"/>
      <c r="X93" s="173"/>
      <c r="Y93" s="177"/>
      <c r="Z93" s="177"/>
      <c r="AA93" s="177"/>
      <c r="AB93" s="177"/>
      <c r="AC93" s="172"/>
      <c r="AD93" s="419"/>
    </row>
    <row r="94" spans="1:30" ht="31.5" customHeight="1">
      <c r="A94" s="198"/>
      <c r="B94" s="1019" t="s">
        <v>456</v>
      </c>
      <c r="C94" s="1019"/>
      <c r="D94" s="1019"/>
      <c r="E94" s="1019"/>
      <c r="F94" s="1019"/>
      <c r="G94" s="407"/>
      <c r="H94" s="203">
        <v>2</v>
      </c>
      <c r="I94" s="414" t="s">
        <v>1</v>
      </c>
      <c r="J94" s="203">
        <f>L95/0.1</f>
        <v>60.999999999999993</v>
      </c>
      <c r="K94" s="414" t="s">
        <v>1</v>
      </c>
      <c r="L94" s="186">
        <v>3.34</v>
      </c>
      <c r="M94" s="190" t="s">
        <v>0</v>
      </c>
      <c r="N94" s="213">
        <f t="shared" ref="N94:N97" si="7">L94*J94*H94</f>
        <v>407.47999999999996</v>
      </c>
      <c r="O94" s="192" t="s">
        <v>13</v>
      </c>
      <c r="P94" s="182"/>
      <c r="Q94" s="182"/>
      <c r="R94" s="294"/>
      <c r="X94" s="173"/>
      <c r="Y94" s="177"/>
      <c r="Z94" s="177"/>
      <c r="AA94" s="177"/>
      <c r="AB94" s="177"/>
      <c r="AC94" s="172"/>
      <c r="AD94" s="419"/>
    </row>
    <row r="95" spans="1:30" ht="15" customHeight="1">
      <c r="A95" s="198"/>
      <c r="B95" s="1018" t="s">
        <v>457</v>
      </c>
      <c r="C95" s="1018"/>
      <c r="D95" s="1018"/>
      <c r="E95" s="1018"/>
      <c r="F95" s="1018"/>
      <c r="G95" s="407"/>
      <c r="H95" s="203">
        <v>2</v>
      </c>
      <c r="I95" s="414" t="s">
        <v>1</v>
      </c>
      <c r="J95" s="203">
        <f>L94/0.1</f>
        <v>33.4</v>
      </c>
      <c r="K95" s="414" t="s">
        <v>1</v>
      </c>
      <c r="L95" s="186">
        <v>6.1</v>
      </c>
      <c r="M95" s="190" t="s">
        <v>0</v>
      </c>
      <c r="N95" s="213">
        <f t="shared" si="7"/>
        <v>407.47999999999996</v>
      </c>
      <c r="O95" s="192" t="s">
        <v>13</v>
      </c>
      <c r="P95" s="182"/>
      <c r="Q95" s="182"/>
      <c r="R95" s="294"/>
      <c r="X95" s="173"/>
      <c r="Y95" s="177"/>
      <c r="Z95" s="177"/>
      <c r="AA95" s="177"/>
      <c r="AB95" s="177"/>
      <c r="AC95" s="172"/>
      <c r="AD95" s="419"/>
    </row>
    <row r="96" spans="1:30" ht="15" customHeight="1">
      <c r="A96" s="198"/>
      <c r="B96" s="1018" t="s">
        <v>458</v>
      </c>
      <c r="C96" s="1018"/>
      <c r="D96" s="1018"/>
      <c r="E96" s="1018"/>
      <c r="F96" s="1018"/>
      <c r="G96" s="407"/>
      <c r="H96" s="203">
        <v>2</v>
      </c>
      <c r="I96" s="414" t="s">
        <v>1</v>
      </c>
      <c r="J96" s="203">
        <f>J94</f>
        <v>60.999999999999993</v>
      </c>
      <c r="K96" s="414" t="s">
        <v>1</v>
      </c>
      <c r="L96" s="186">
        <f>L94</f>
        <v>3.34</v>
      </c>
      <c r="M96" s="190" t="s">
        <v>0</v>
      </c>
      <c r="N96" s="213">
        <f t="shared" si="7"/>
        <v>407.47999999999996</v>
      </c>
      <c r="O96" s="192" t="s">
        <v>13</v>
      </c>
      <c r="P96" s="182"/>
      <c r="Q96" s="182"/>
      <c r="R96" s="294"/>
      <c r="X96" s="173" t="s">
        <v>374</v>
      </c>
      <c r="Y96" s="177"/>
      <c r="Z96" s="177"/>
      <c r="AA96" s="177"/>
      <c r="AB96" s="177"/>
      <c r="AC96" s="172"/>
      <c r="AD96" s="419"/>
    </row>
    <row r="97" spans="1:30" ht="15" customHeight="1">
      <c r="A97" s="198"/>
      <c r="B97" s="1019" t="s">
        <v>459</v>
      </c>
      <c r="C97" s="1019"/>
      <c r="D97" s="1019"/>
      <c r="E97" s="1019"/>
      <c r="F97" s="1019"/>
      <c r="G97" s="407"/>
      <c r="H97" s="203">
        <v>2</v>
      </c>
      <c r="I97" s="414" t="s">
        <v>1</v>
      </c>
      <c r="J97" s="203">
        <f>J95</f>
        <v>33.4</v>
      </c>
      <c r="K97" s="414" t="s">
        <v>1</v>
      </c>
      <c r="L97" s="186">
        <f>L95</f>
        <v>6.1</v>
      </c>
      <c r="M97" s="190" t="s">
        <v>0</v>
      </c>
      <c r="N97" s="213">
        <f t="shared" si="7"/>
        <v>407.47999999999996</v>
      </c>
      <c r="O97" s="192" t="s">
        <v>13</v>
      </c>
      <c r="P97" s="182"/>
      <c r="Q97" s="182"/>
      <c r="R97" s="294"/>
      <c r="X97" s="173"/>
      <c r="Y97" s="177"/>
      <c r="Z97" s="177"/>
      <c r="AA97" s="177"/>
      <c r="AB97" s="177"/>
      <c r="AC97" s="172"/>
      <c r="AD97" s="419"/>
    </row>
    <row r="98" spans="1:30" ht="32.25" customHeight="1">
      <c r="A98" s="198"/>
      <c r="B98" s="1022" t="s">
        <v>461</v>
      </c>
      <c r="C98" s="1022"/>
      <c r="D98" s="1022"/>
      <c r="E98" s="1022"/>
      <c r="F98" s="1022"/>
      <c r="G98" s="407"/>
      <c r="H98" s="407"/>
      <c r="I98" s="416"/>
      <c r="J98" s="418"/>
      <c r="K98" s="185"/>
      <c r="L98" s="185"/>
      <c r="M98" s="184"/>
      <c r="N98" s="407"/>
      <c r="O98" s="356"/>
      <c r="P98" s="182"/>
      <c r="Q98" s="182"/>
      <c r="R98" s="294"/>
      <c r="X98" s="173"/>
      <c r="Y98" s="177"/>
      <c r="Z98" s="177"/>
      <c r="AA98" s="177"/>
      <c r="AB98" s="177"/>
      <c r="AC98" s="172"/>
      <c r="AD98" s="419"/>
    </row>
    <row r="99" spans="1:30" ht="28.5" customHeight="1">
      <c r="A99" s="198"/>
      <c r="B99" s="1019" t="s">
        <v>392</v>
      </c>
      <c r="C99" s="1019"/>
      <c r="D99" s="1019"/>
      <c r="E99" s="1019"/>
      <c r="F99" s="1019"/>
      <c r="G99" s="407"/>
      <c r="H99" s="203">
        <v>2</v>
      </c>
      <c r="I99" s="414" t="s">
        <v>1</v>
      </c>
      <c r="J99" s="203">
        <f>L100/0.1</f>
        <v>15</v>
      </c>
      <c r="K99" s="414" t="s">
        <v>1</v>
      </c>
      <c r="L99" s="186">
        <v>3.34</v>
      </c>
      <c r="M99" s="190" t="s">
        <v>0</v>
      </c>
      <c r="N99" s="213">
        <f t="shared" ref="N99:N102" si="8">L99*J99*H99</f>
        <v>100.19999999999999</v>
      </c>
      <c r="O99" s="192" t="s">
        <v>13</v>
      </c>
      <c r="P99" s="182"/>
      <c r="Q99" s="182"/>
      <c r="R99" s="294"/>
      <c r="X99" s="173"/>
      <c r="Y99" s="177"/>
      <c r="Z99" s="177"/>
      <c r="AA99" s="177"/>
      <c r="AB99" s="177"/>
      <c r="AC99" s="172"/>
      <c r="AD99" s="419"/>
    </row>
    <row r="100" spans="1:30" ht="15" customHeight="1">
      <c r="A100" s="198"/>
      <c r="B100" s="1018" t="s">
        <v>460</v>
      </c>
      <c r="C100" s="1018"/>
      <c r="D100" s="1018"/>
      <c r="E100" s="1018"/>
      <c r="F100" s="1018"/>
      <c r="G100" s="407"/>
      <c r="H100" s="203">
        <v>2</v>
      </c>
      <c r="I100" s="414" t="s">
        <v>1</v>
      </c>
      <c r="J100" s="203">
        <f>L99/0.1</f>
        <v>33.4</v>
      </c>
      <c r="K100" s="414" t="s">
        <v>1</v>
      </c>
      <c r="L100" s="186">
        <v>1.5</v>
      </c>
      <c r="M100" s="190" t="s">
        <v>0</v>
      </c>
      <c r="N100" s="213">
        <f t="shared" si="8"/>
        <v>100.19999999999999</v>
      </c>
      <c r="O100" s="192" t="s">
        <v>13</v>
      </c>
      <c r="P100" s="182"/>
      <c r="Q100" s="182"/>
      <c r="R100" s="294"/>
      <c r="X100" s="173"/>
      <c r="Y100" s="177"/>
      <c r="Z100" s="177"/>
      <c r="AA100" s="177"/>
      <c r="AB100" s="177"/>
      <c r="AC100" s="172"/>
      <c r="AD100" s="419"/>
    </row>
    <row r="101" spans="1:30" ht="30" customHeight="1">
      <c r="A101" s="198"/>
      <c r="B101" s="1019" t="s">
        <v>395</v>
      </c>
      <c r="C101" s="1019"/>
      <c r="D101" s="1019"/>
      <c r="E101" s="1019"/>
      <c r="F101" s="1019"/>
      <c r="G101" s="407"/>
      <c r="H101" s="203">
        <v>2</v>
      </c>
      <c r="I101" s="414" t="s">
        <v>1</v>
      </c>
      <c r="J101" s="203">
        <f>L102/0.2</f>
        <v>7.5</v>
      </c>
      <c r="K101" s="414" t="s">
        <v>1</v>
      </c>
      <c r="L101" s="186">
        <f>L94</f>
        <v>3.34</v>
      </c>
      <c r="M101" s="190" t="s">
        <v>0</v>
      </c>
      <c r="N101" s="213">
        <f t="shared" si="8"/>
        <v>50.099999999999994</v>
      </c>
      <c r="O101" s="192" t="s">
        <v>13</v>
      </c>
      <c r="P101" s="182"/>
      <c r="Q101" s="182"/>
      <c r="R101" s="294"/>
      <c r="X101" s="173"/>
      <c r="Y101" s="177"/>
      <c r="Z101" s="177"/>
      <c r="AA101" s="177"/>
      <c r="AB101" s="177"/>
      <c r="AC101" s="172"/>
      <c r="AD101" s="419"/>
    </row>
    <row r="102" spans="1:30" ht="15" customHeight="1">
      <c r="A102" s="198"/>
      <c r="B102" s="1019" t="s">
        <v>393</v>
      </c>
      <c r="C102" s="1019"/>
      <c r="D102" s="1019"/>
      <c r="E102" s="1019"/>
      <c r="F102" s="1019"/>
      <c r="G102" s="407"/>
      <c r="H102" s="203">
        <v>2</v>
      </c>
      <c r="I102" s="414" t="s">
        <v>1</v>
      </c>
      <c r="J102" s="203">
        <f>L101/0.2</f>
        <v>16.7</v>
      </c>
      <c r="K102" s="414" t="s">
        <v>1</v>
      </c>
      <c r="L102" s="186">
        <f>L100</f>
        <v>1.5</v>
      </c>
      <c r="M102" s="190" t="s">
        <v>0</v>
      </c>
      <c r="N102" s="213">
        <f t="shared" si="8"/>
        <v>50.099999999999994</v>
      </c>
      <c r="O102" s="192" t="s">
        <v>13</v>
      </c>
      <c r="P102" s="182"/>
      <c r="Q102" s="182"/>
      <c r="R102" s="294"/>
      <c r="X102" s="173"/>
      <c r="Y102" s="177"/>
      <c r="Z102" s="177"/>
      <c r="AA102" s="177"/>
      <c r="AB102" s="177"/>
      <c r="AC102" s="172"/>
      <c r="AD102" s="419"/>
    </row>
    <row r="103" spans="1:30" ht="15" customHeight="1">
      <c r="A103" s="198"/>
      <c r="B103" s="413"/>
      <c r="C103" s="413"/>
      <c r="D103" s="413"/>
      <c r="E103" s="413"/>
      <c r="F103" s="413"/>
      <c r="G103" s="407"/>
      <c r="H103" s="203"/>
      <c r="I103" s="414"/>
      <c r="J103" s="203"/>
      <c r="K103" s="414"/>
      <c r="L103" s="186"/>
      <c r="M103" s="190"/>
      <c r="N103" s="213"/>
      <c r="O103" s="192"/>
      <c r="P103" s="182"/>
      <c r="Q103" s="182"/>
      <c r="R103" s="294"/>
      <c r="X103" s="173"/>
      <c r="Y103" s="177"/>
      <c r="Z103" s="177"/>
      <c r="AA103" s="177"/>
      <c r="AB103" s="177"/>
      <c r="AC103" s="172"/>
      <c r="AD103" s="419"/>
    </row>
    <row r="104" spans="1:30" ht="15" customHeight="1">
      <c r="A104" s="198"/>
      <c r="B104" s="413"/>
      <c r="C104" s="413"/>
      <c r="D104" s="413"/>
      <c r="E104" s="413"/>
      <c r="F104" s="413"/>
      <c r="G104" s="407"/>
      <c r="H104" s="203"/>
      <c r="I104" s="414"/>
      <c r="J104" s="203"/>
      <c r="K104" s="414"/>
      <c r="L104" s="186"/>
      <c r="M104" s="190"/>
      <c r="N104" s="213"/>
      <c r="O104" s="192"/>
      <c r="P104" s="182"/>
      <c r="Q104" s="182"/>
      <c r="R104" s="294"/>
      <c r="X104" s="173"/>
      <c r="Y104" s="177"/>
      <c r="Z104" s="177"/>
      <c r="AA104" s="177"/>
      <c r="AB104" s="177"/>
      <c r="AC104" s="172"/>
      <c r="AD104" s="419"/>
    </row>
    <row r="105" spans="1:30" ht="17.25" customHeight="1">
      <c r="A105" s="386"/>
      <c r="B105" s="1020" t="s">
        <v>463</v>
      </c>
      <c r="C105" s="1020"/>
      <c r="D105" s="1020"/>
      <c r="E105" s="1020"/>
      <c r="F105" s="1020"/>
      <c r="G105" s="1020"/>
      <c r="H105" s="1020"/>
      <c r="I105" s="351"/>
      <c r="J105" s="352"/>
      <c r="K105" s="351"/>
      <c r="L105" s="353"/>
      <c r="M105" s="223"/>
      <c r="N105" s="224"/>
      <c r="O105" s="271"/>
      <c r="P105" s="354"/>
      <c r="Q105" s="354"/>
      <c r="R105" s="271"/>
      <c r="X105" s="173"/>
      <c r="Y105" s="177"/>
      <c r="Z105" s="177"/>
      <c r="AA105" s="177"/>
      <c r="AB105" s="177"/>
      <c r="AC105" s="172"/>
      <c r="AD105" s="419"/>
    </row>
    <row r="106" spans="1:30" ht="27.75" customHeight="1">
      <c r="A106" s="279"/>
      <c r="B106" s="1021" t="s">
        <v>429</v>
      </c>
      <c r="C106" s="1021"/>
      <c r="D106" s="1021"/>
      <c r="E106" s="1021"/>
      <c r="F106" s="1021"/>
      <c r="G106" s="1021"/>
      <c r="H106" s="1021"/>
      <c r="I106" s="404"/>
      <c r="J106" s="231"/>
      <c r="K106" s="404"/>
      <c r="L106" s="187"/>
      <c r="M106" s="190"/>
      <c r="N106" s="213"/>
      <c r="O106" s="294"/>
      <c r="P106" s="192"/>
      <c r="Q106" s="192"/>
      <c r="R106" s="294"/>
      <c r="X106" s="173"/>
      <c r="Y106" s="177"/>
      <c r="Z106" s="177"/>
      <c r="AA106" s="177"/>
      <c r="AB106" s="177"/>
      <c r="AC106" s="172"/>
      <c r="AD106" s="419"/>
    </row>
    <row r="107" spans="1:30" s="369" customFormat="1" ht="21" customHeight="1">
      <c r="A107" s="198"/>
      <c r="B107" s="1014" t="s">
        <v>392</v>
      </c>
      <c r="C107" s="1014"/>
      <c r="D107" s="1014"/>
      <c r="E107" s="1014"/>
      <c r="F107" s="1014"/>
      <c r="G107" s="405"/>
      <c r="H107" s="357">
        <v>1</v>
      </c>
      <c r="I107" s="263" t="s">
        <v>1</v>
      </c>
      <c r="J107" s="357">
        <f>L108/0.1+1</f>
        <v>105</v>
      </c>
      <c r="K107" s="263" t="s">
        <v>1</v>
      </c>
      <c r="L107" s="358">
        <v>2.2000000000000002</v>
      </c>
      <c r="M107" s="260" t="s">
        <v>0</v>
      </c>
      <c r="N107" s="367">
        <f t="shared" ref="N107:N114" si="9">L107*J107*H107</f>
        <v>231.00000000000003</v>
      </c>
      <c r="O107" s="294" t="s">
        <v>13</v>
      </c>
      <c r="P107" s="368"/>
      <c r="Q107" s="368"/>
      <c r="R107" s="294"/>
      <c r="X107" s="173"/>
      <c r="Y107" s="370"/>
      <c r="Z107" s="370"/>
      <c r="AA107" s="370"/>
      <c r="AB107" s="370"/>
      <c r="AC107" s="371"/>
      <c r="AD107" s="372"/>
    </row>
    <row r="108" spans="1:30" s="369" customFormat="1" ht="15" customHeight="1">
      <c r="A108" s="198"/>
      <c r="B108" s="1014" t="s">
        <v>393</v>
      </c>
      <c r="C108" s="1014"/>
      <c r="D108" s="1014"/>
      <c r="E108" s="1014"/>
      <c r="F108" s="1014"/>
      <c r="G108" s="405"/>
      <c r="H108" s="357">
        <v>1</v>
      </c>
      <c r="I108" s="263" t="s">
        <v>1</v>
      </c>
      <c r="J108" s="357">
        <f>L107/0.1+1</f>
        <v>23</v>
      </c>
      <c r="K108" s="263" t="s">
        <v>1</v>
      </c>
      <c r="L108" s="358">
        <f>L62</f>
        <v>10.4</v>
      </c>
      <c r="M108" s="260" t="s">
        <v>0</v>
      </c>
      <c r="N108" s="367">
        <f t="shared" si="9"/>
        <v>239.20000000000002</v>
      </c>
      <c r="O108" s="294" t="s">
        <v>13</v>
      </c>
      <c r="P108" s="368"/>
      <c r="Q108" s="368"/>
      <c r="R108" s="294"/>
      <c r="X108" s="173"/>
      <c r="Y108" s="370"/>
      <c r="Z108" s="370"/>
      <c r="AA108" s="370"/>
      <c r="AB108" s="370"/>
      <c r="AC108" s="371"/>
      <c r="AD108" s="372"/>
    </row>
    <row r="109" spans="1:30" ht="28.5" customHeight="1">
      <c r="A109" s="198"/>
      <c r="B109" s="1017" t="s">
        <v>395</v>
      </c>
      <c r="C109" s="1017"/>
      <c r="D109" s="1017"/>
      <c r="E109" s="1017"/>
      <c r="F109" s="1017"/>
      <c r="G109" s="407"/>
      <c r="H109" s="203">
        <v>1</v>
      </c>
      <c r="I109" s="414" t="s">
        <v>1</v>
      </c>
      <c r="J109" s="203">
        <f>L110/0.1+1</f>
        <v>105</v>
      </c>
      <c r="K109" s="414" t="s">
        <v>1</v>
      </c>
      <c r="L109" s="186">
        <f>L107</f>
        <v>2.2000000000000002</v>
      </c>
      <c r="M109" s="190" t="s">
        <v>0</v>
      </c>
      <c r="N109" s="213">
        <f t="shared" si="9"/>
        <v>231.00000000000003</v>
      </c>
      <c r="O109" s="404" t="s">
        <v>13</v>
      </c>
      <c r="P109" s="182"/>
      <c r="Q109" s="182"/>
      <c r="R109" s="294"/>
      <c r="X109" s="173"/>
      <c r="Y109" s="177"/>
      <c r="Z109" s="177"/>
      <c r="AA109" s="177"/>
      <c r="AB109" s="177"/>
      <c r="AC109" s="172"/>
      <c r="AD109" s="419"/>
    </row>
    <row r="110" spans="1:30" ht="19.5" customHeight="1">
      <c r="A110" s="198"/>
      <c r="B110" s="1014" t="s">
        <v>393</v>
      </c>
      <c r="C110" s="1014"/>
      <c r="D110" s="1014"/>
      <c r="E110" s="1014"/>
      <c r="F110" s="1014"/>
      <c r="G110" s="407"/>
      <c r="H110" s="203">
        <v>1</v>
      </c>
      <c r="I110" s="414" t="s">
        <v>1</v>
      </c>
      <c r="J110" s="203">
        <f>J108+1</f>
        <v>24</v>
      </c>
      <c r="K110" s="414" t="s">
        <v>1</v>
      </c>
      <c r="L110" s="186">
        <f>L108</f>
        <v>10.4</v>
      </c>
      <c r="M110" s="190" t="s">
        <v>0</v>
      </c>
      <c r="N110" s="213">
        <f t="shared" si="9"/>
        <v>249.60000000000002</v>
      </c>
      <c r="O110" s="294" t="s">
        <v>13</v>
      </c>
      <c r="P110" s="182"/>
      <c r="Q110" s="182"/>
      <c r="R110" s="294"/>
      <c r="X110" s="173"/>
      <c r="Y110" s="177"/>
      <c r="Z110" s="177"/>
      <c r="AA110" s="177"/>
      <c r="AB110" s="177"/>
      <c r="AC110" s="172"/>
      <c r="AD110" s="419"/>
    </row>
    <row r="111" spans="1:30" ht="19.5" customHeight="1">
      <c r="A111" s="198"/>
      <c r="B111" s="1014" t="s">
        <v>392</v>
      </c>
      <c r="C111" s="1014"/>
      <c r="D111" s="1014"/>
      <c r="E111" s="1014"/>
      <c r="F111" s="1014"/>
      <c r="G111" s="405"/>
      <c r="H111" s="357">
        <v>1</v>
      </c>
      <c r="I111" s="263" t="s">
        <v>1</v>
      </c>
      <c r="J111" s="357">
        <f>L112/0.1+1</f>
        <v>152.99999999999997</v>
      </c>
      <c r="K111" s="263" t="s">
        <v>1</v>
      </c>
      <c r="L111" s="358">
        <v>2.2000000000000002</v>
      </c>
      <c r="M111" s="260" t="s">
        <v>0</v>
      </c>
      <c r="N111" s="367">
        <f t="shared" si="9"/>
        <v>336.59999999999997</v>
      </c>
      <c r="O111" s="294" t="s">
        <v>13</v>
      </c>
      <c r="P111" s="182"/>
      <c r="Q111" s="182"/>
      <c r="R111" s="294"/>
      <c r="X111" s="173"/>
      <c r="Y111" s="177"/>
      <c r="Z111" s="177"/>
      <c r="AA111" s="177"/>
      <c r="AB111" s="177"/>
      <c r="AC111" s="172"/>
      <c r="AD111" s="419"/>
    </row>
    <row r="112" spans="1:30" ht="19.5" customHeight="1">
      <c r="A112" s="198"/>
      <c r="B112" s="1014" t="s">
        <v>393</v>
      </c>
      <c r="C112" s="1014"/>
      <c r="D112" s="1014"/>
      <c r="E112" s="1014"/>
      <c r="F112" s="1014"/>
      <c r="G112" s="405"/>
      <c r="H112" s="357">
        <v>1</v>
      </c>
      <c r="I112" s="263" t="s">
        <v>1</v>
      </c>
      <c r="J112" s="357">
        <f>L111/0.1+1</f>
        <v>23</v>
      </c>
      <c r="K112" s="263" t="s">
        <v>1</v>
      </c>
      <c r="L112" s="358">
        <f>L74</f>
        <v>15.2</v>
      </c>
      <c r="M112" s="260" t="s">
        <v>0</v>
      </c>
      <c r="N112" s="367">
        <f t="shared" si="9"/>
        <v>349.59999999999997</v>
      </c>
      <c r="O112" s="294" t="s">
        <v>13</v>
      </c>
      <c r="P112" s="182"/>
      <c r="Q112" s="182"/>
      <c r="R112" s="294"/>
      <c r="X112" s="173"/>
      <c r="Y112" s="177"/>
      <c r="Z112" s="177"/>
      <c r="AA112" s="177"/>
      <c r="AB112" s="177"/>
      <c r="AC112" s="172"/>
      <c r="AD112" s="419"/>
    </row>
    <row r="113" spans="1:30" ht="30" customHeight="1">
      <c r="A113" s="198"/>
      <c r="B113" s="1017" t="s">
        <v>395</v>
      </c>
      <c r="C113" s="1017"/>
      <c r="D113" s="1017"/>
      <c r="E113" s="1017"/>
      <c r="F113" s="1017"/>
      <c r="G113" s="407"/>
      <c r="H113" s="203">
        <v>1</v>
      </c>
      <c r="I113" s="414" t="s">
        <v>1</v>
      </c>
      <c r="J113" s="203">
        <f>L114/0.1+1</f>
        <v>152.99999999999997</v>
      </c>
      <c r="K113" s="414" t="s">
        <v>1</v>
      </c>
      <c r="L113" s="186">
        <f>L111</f>
        <v>2.2000000000000002</v>
      </c>
      <c r="M113" s="190" t="s">
        <v>0</v>
      </c>
      <c r="N113" s="213">
        <f t="shared" si="9"/>
        <v>336.59999999999997</v>
      </c>
      <c r="O113" s="404" t="s">
        <v>13</v>
      </c>
      <c r="P113" s="182"/>
      <c r="Q113" s="182"/>
      <c r="R113" s="294"/>
      <c r="X113" s="173"/>
      <c r="Y113" s="177"/>
      <c r="Z113" s="177"/>
      <c r="AA113" s="177"/>
      <c r="AB113" s="177"/>
      <c r="AC113" s="172"/>
      <c r="AD113" s="419"/>
    </row>
    <row r="114" spans="1:30" ht="19.5" customHeight="1">
      <c r="A114" s="198"/>
      <c r="B114" s="1014" t="s">
        <v>393</v>
      </c>
      <c r="C114" s="1014"/>
      <c r="D114" s="1014"/>
      <c r="E114" s="1014"/>
      <c r="F114" s="1014"/>
      <c r="G114" s="407"/>
      <c r="H114" s="203">
        <v>1</v>
      </c>
      <c r="I114" s="414" t="s">
        <v>1</v>
      </c>
      <c r="J114" s="203">
        <f>J112+1</f>
        <v>24</v>
      </c>
      <c r="K114" s="414" t="s">
        <v>1</v>
      </c>
      <c r="L114" s="186">
        <f>L112</f>
        <v>15.2</v>
      </c>
      <c r="M114" s="190" t="s">
        <v>0</v>
      </c>
      <c r="N114" s="213">
        <f t="shared" si="9"/>
        <v>364.79999999999995</v>
      </c>
      <c r="O114" s="294" t="s">
        <v>13</v>
      </c>
      <c r="P114" s="182"/>
      <c r="Q114" s="182"/>
      <c r="R114" s="294"/>
      <c r="X114" s="173"/>
      <c r="Y114" s="177"/>
      <c r="Z114" s="177"/>
      <c r="AA114" s="177"/>
      <c r="AB114" s="177"/>
      <c r="AC114" s="172"/>
      <c r="AD114" s="419"/>
    </row>
    <row r="115" spans="1:30" ht="15" customHeight="1">
      <c r="A115" s="198"/>
      <c r="B115" s="211"/>
      <c r="C115" s="212"/>
      <c r="D115" s="185"/>
      <c r="E115" s="185"/>
      <c r="F115" s="414"/>
      <c r="G115" s="414"/>
      <c r="H115" s="203"/>
      <c r="I115" s="414"/>
      <c r="J115" s="186"/>
      <c r="K115" s="184"/>
      <c r="L115" s="186" t="s">
        <v>8</v>
      </c>
      <c r="M115" s="190" t="s">
        <v>0</v>
      </c>
      <c r="N115" s="355">
        <f>SUM(N61:N114)</f>
        <v>12106.160000000002</v>
      </c>
      <c r="O115" s="280" t="s">
        <v>13</v>
      </c>
      <c r="P115" s="182"/>
      <c r="Q115" s="182"/>
      <c r="R115" s="294"/>
      <c r="X115" s="173"/>
      <c r="Y115" s="177"/>
      <c r="Z115" s="177"/>
      <c r="AA115" s="177"/>
      <c r="AB115" s="177"/>
      <c r="AC115" s="172"/>
      <c r="AD115" s="419"/>
    </row>
    <row r="116" spans="1:30" ht="15" customHeight="1">
      <c r="A116" s="198"/>
      <c r="B116" s="192"/>
      <c r="C116" s="192"/>
      <c r="D116" s="192"/>
      <c r="E116" s="185"/>
      <c r="F116" s="193" t="s">
        <v>350</v>
      </c>
      <c r="G116" s="407" t="s">
        <v>11</v>
      </c>
      <c r="H116" s="407">
        <v>0.62</v>
      </c>
      <c r="I116" s="1010" t="s">
        <v>353</v>
      </c>
      <c r="J116" s="1015"/>
      <c r="K116" s="185"/>
      <c r="L116" s="185"/>
      <c r="M116" s="184" t="s">
        <v>0</v>
      </c>
      <c r="N116" s="407">
        <f>H116*N115</f>
        <v>7505.8192000000008</v>
      </c>
      <c r="O116" s="268" t="s">
        <v>100</v>
      </c>
      <c r="P116" s="182"/>
      <c r="Q116" s="182"/>
      <c r="R116" s="294"/>
      <c r="X116" s="173"/>
      <c r="Y116" s="177"/>
      <c r="Z116" s="177"/>
      <c r="AA116" s="177"/>
      <c r="AB116" s="177"/>
      <c r="AC116" s="172"/>
      <c r="AD116" s="419"/>
    </row>
    <row r="117" spans="1:30" ht="15" customHeight="1" thickBot="1">
      <c r="A117" s="198"/>
      <c r="B117" s="375"/>
      <c r="C117" s="375"/>
      <c r="D117" s="375"/>
      <c r="E117" s="376"/>
      <c r="F117" s="377"/>
      <c r="G117" s="378"/>
      <c r="H117" s="378"/>
      <c r="I117" s="379"/>
      <c r="J117" s="380"/>
      <c r="K117" s="376"/>
      <c r="L117" s="376"/>
      <c r="M117" s="381"/>
      <c r="N117" s="378"/>
      <c r="O117" s="382"/>
      <c r="P117" s="182"/>
      <c r="Q117" s="182"/>
      <c r="R117" s="294"/>
      <c r="X117" s="173"/>
      <c r="Y117" s="177"/>
      <c r="Z117" s="177"/>
      <c r="AA117" s="177"/>
      <c r="AB117" s="177"/>
      <c r="AC117" s="172"/>
      <c r="AD117" s="419"/>
    </row>
    <row r="118" spans="1:30">
      <c r="A118" s="279"/>
      <c r="B118" s="192"/>
      <c r="C118" s="192"/>
      <c r="D118" s="230"/>
      <c r="E118" s="230"/>
      <c r="F118" s="231"/>
      <c r="G118" s="404"/>
      <c r="H118" s="231"/>
      <c r="I118" s="996" t="s">
        <v>359</v>
      </c>
      <c r="J118" s="996"/>
      <c r="K118" s="996"/>
      <c r="L118" s="996"/>
      <c r="M118" s="190" t="s">
        <v>0</v>
      </c>
      <c r="N118" s="373">
        <f>N116+N56+N53+N30+N26+N18+N14+N36+N40</f>
        <v>12515.286200000002</v>
      </c>
      <c r="O118" s="374" t="s">
        <v>100</v>
      </c>
      <c r="P118" s="190"/>
      <c r="Q118" s="205"/>
      <c r="R118" s="269"/>
    </row>
    <row r="119" spans="1:30" ht="27.75" customHeight="1">
      <c r="A119" s="279"/>
      <c r="B119" s="1016" t="s">
        <v>430</v>
      </c>
      <c r="C119" s="1016"/>
      <c r="D119" s="1016"/>
      <c r="E119" s="1016"/>
      <c r="F119" s="1016"/>
      <c r="G119" s="1016"/>
      <c r="H119" s="1016"/>
      <c r="I119" s="1016"/>
      <c r="J119" s="1016"/>
      <c r="K119" s="1016"/>
      <c r="L119" s="1016"/>
      <c r="M119" s="414" t="s">
        <v>0</v>
      </c>
      <c r="N119" s="288">
        <f>N118*0.05</f>
        <v>625.76431000000014</v>
      </c>
      <c r="O119" s="274"/>
      <c r="P119" s="190"/>
      <c r="Q119" s="205"/>
      <c r="R119" s="269"/>
    </row>
    <row r="120" spans="1:30">
      <c r="A120" s="279"/>
      <c r="B120" s="229"/>
      <c r="C120" s="229"/>
      <c r="D120" s="229"/>
      <c r="E120" s="229"/>
      <c r="F120" s="229"/>
      <c r="G120" s="229"/>
      <c r="H120" s="996" t="s">
        <v>398</v>
      </c>
      <c r="I120" s="996"/>
      <c r="J120" s="996"/>
      <c r="K120" s="996"/>
      <c r="L120" s="996"/>
      <c r="M120" s="184" t="s">
        <v>0</v>
      </c>
      <c r="N120" s="249">
        <f>N119+N118</f>
        <v>13141.050510000003</v>
      </c>
      <c r="O120" s="274" t="s">
        <v>100</v>
      </c>
      <c r="P120" s="190"/>
      <c r="Q120" s="205"/>
      <c r="R120" s="269"/>
    </row>
    <row r="121" spans="1:30" ht="18.75" customHeight="1">
      <c r="A121" s="279"/>
      <c r="B121" s="192"/>
      <c r="C121" s="192"/>
      <c r="D121" s="230"/>
      <c r="E121" s="230"/>
      <c r="F121" s="231"/>
      <c r="G121" s="404"/>
      <c r="H121" s="231"/>
      <c r="I121" s="404"/>
      <c r="J121" s="187"/>
      <c r="K121" s="190"/>
      <c r="L121" s="187"/>
      <c r="M121" s="184" t="s">
        <v>0</v>
      </c>
      <c r="N121" s="287">
        <f>N120/100</f>
        <v>131.41050510000002</v>
      </c>
      <c r="O121" s="281" t="s">
        <v>368</v>
      </c>
      <c r="P121" s="190"/>
      <c r="Q121" s="205"/>
      <c r="R121" s="269"/>
    </row>
    <row r="122" spans="1:30" ht="15" customHeight="1">
      <c r="A122" s="198"/>
      <c r="B122" s="182"/>
      <c r="C122" s="182"/>
      <c r="D122" s="182"/>
      <c r="E122" s="182"/>
      <c r="F122" s="182"/>
      <c r="G122" s="182"/>
      <c r="H122" s="182"/>
      <c r="I122" s="182"/>
      <c r="J122" s="193" t="s">
        <v>350</v>
      </c>
      <c r="K122" s="407" t="s">
        <v>11</v>
      </c>
      <c r="L122" s="989">
        <v>9938</v>
      </c>
      <c r="M122" s="989"/>
      <c r="N122" s="418" t="s">
        <v>360</v>
      </c>
      <c r="O122" s="294"/>
      <c r="P122" s="184" t="s">
        <v>0</v>
      </c>
      <c r="Q122" s="197" t="s">
        <v>11</v>
      </c>
      <c r="R122" s="268">
        <f>ROUND(N121*L122,0)</f>
        <v>1305958</v>
      </c>
    </row>
    <row r="123" spans="1:30" ht="15" customHeight="1">
      <c r="A123" s="198"/>
      <c r="B123" s="182"/>
      <c r="C123" s="182"/>
      <c r="D123" s="182"/>
      <c r="E123" s="182"/>
      <c r="F123" s="182"/>
      <c r="G123" s="182"/>
      <c r="H123" s="182"/>
      <c r="I123" s="182"/>
      <c r="J123" s="193"/>
      <c r="K123" s="429"/>
      <c r="L123" s="429"/>
      <c r="M123" s="429"/>
      <c r="N123" s="432"/>
      <c r="O123" s="294"/>
      <c r="P123" s="184"/>
      <c r="Q123" s="197"/>
      <c r="R123" s="268"/>
    </row>
    <row r="124" spans="1:30" ht="15" customHeight="1">
      <c r="A124" s="198"/>
      <c r="B124" s="182"/>
      <c r="C124" s="182"/>
      <c r="D124" s="182"/>
      <c r="E124" s="182"/>
      <c r="F124" s="182"/>
      <c r="G124" s="182"/>
      <c r="H124" s="182"/>
      <c r="I124" s="182"/>
      <c r="J124" s="193"/>
      <c r="K124" s="407"/>
      <c r="L124" s="407"/>
      <c r="M124" s="407"/>
      <c r="N124" s="418"/>
      <c r="O124" s="294"/>
      <c r="P124" s="184"/>
      <c r="Q124" s="197"/>
      <c r="R124" s="268"/>
    </row>
    <row r="125" spans="1:30" ht="15" customHeight="1">
      <c r="A125" s="198"/>
      <c r="B125" s="182"/>
      <c r="C125" s="182"/>
      <c r="D125" s="182"/>
      <c r="E125" s="182"/>
      <c r="F125" s="182"/>
      <c r="G125" s="182"/>
      <c r="H125" s="182"/>
      <c r="I125" s="182"/>
      <c r="J125" s="193"/>
      <c r="K125" s="407"/>
      <c r="L125" s="407"/>
      <c r="M125" s="407"/>
      <c r="N125" s="418"/>
      <c r="O125" s="281" t="s">
        <v>24</v>
      </c>
      <c r="P125" s="251" t="s">
        <v>0</v>
      </c>
      <c r="Q125" s="252" t="s">
        <v>11</v>
      </c>
      <c r="R125" s="272">
        <f>SUM(R88:R124)</f>
        <v>1305958</v>
      </c>
    </row>
    <row r="126" spans="1:30" ht="18" customHeight="1">
      <c r="A126" s="198"/>
      <c r="B126" s="182"/>
      <c r="C126" s="182"/>
      <c r="D126" s="182"/>
      <c r="E126" s="182"/>
      <c r="F126" s="182"/>
      <c r="G126" s="182"/>
      <c r="H126" s="182"/>
      <c r="I126" s="182"/>
      <c r="J126" s="193"/>
      <c r="K126" s="407"/>
      <c r="L126" s="407"/>
      <c r="M126" s="407"/>
      <c r="N126" s="418"/>
      <c r="O126" s="281" t="s">
        <v>25</v>
      </c>
      <c r="P126" s="251" t="s">
        <v>0</v>
      </c>
      <c r="Q126" s="252" t="s">
        <v>11</v>
      </c>
      <c r="R126" s="272">
        <f>R125*1</f>
        <v>1305958</v>
      </c>
    </row>
    <row r="127" spans="1:30" ht="16.5" customHeight="1">
      <c r="A127" s="198"/>
      <c r="B127" s="182"/>
      <c r="C127" s="182"/>
      <c r="D127" s="182"/>
      <c r="E127" s="182"/>
      <c r="F127" s="182"/>
      <c r="G127" s="182"/>
      <c r="H127" s="182"/>
      <c r="I127" s="182"/>
      <c r="J127" s="193"/>
      <c r="K127" s="407"/>
      <c r="L127" s="407"/>
      <c r="M127" s="407"/>
      <c r="N127" s="418"/>
      <c r="O127" s="281"/>
      <c r="P127" s="251"/>
      <c r="Q127" s="252"/>
      <c r="R127" s="272"/>
    </row>
    <row r="128" spans="1:30" ht="50.25" customHeight="1">
      <c r="A128" s="412" t="s">
        <v>433</v>
      </c>
      <c r="B128" s="999" t="s">
        <v>354</v>
      </c>
      <c r="C128" s="999"/>
      <c r="D128" s="999"/>
      <c r="E128" s="999"/>
      <c r="F128" s="999"/>
      <c r="G128" s="999"/>
      <c r="H128" s="999"/>
      <c r="I128" s="999"/>
      <c r="J128" s="999"/>
      <c r="K128" s="999"/>
      <c r="L128" s="999"/>
      <c r="M128" s="999"/>
      <c r="N128" s="999"/>
      <c r="O128" s="999"/>
      <c r="P128" s="184"/>
      <c r="Q128" s="197"/>
      <c r="R128" s="268"/>
    </row>
    <row r="129" spans="1:30" ht="19.5" customHeight="1">
      <c r="A129" s="279"/>
      <c r="B129" s="1009" t="s">
        <v>378</v>
      </c>
      <c r="C129" s="1009"/>
      <c r="D129" s="1009"/>
      <c r="E129" s="1009"/>
      <c r="F129" s="1009"/>
      <c r="G129" s="1009"/>
      <c r="H129" s="1009"/>
      <c r="I129" s="1009"/>
      <c r="J129" s="1009"/>
      <c r="K129" s="190"/>
      <c r="L129" s="187"/>
      <c r="M129" s="190"/>
      <c r="N129" s="213"/>
      <c r="O129" s="294"/>
      <c r="P129" s="200"/>
      <c r="Q129" s="200"/>
      <c r="R129" s="265"/>
    </row>
    <row r="130" spans="1:30" ht="21" customHeight="1">
      <c r="A130" s="198"/>
      <c r="B130" s="1001" t="s">
        <v>411</v>
      </c>
      <c r="C130" s="1001"/>
      <c r="D130" s="1001"/>
      <c r="E130" s="1001"/>
      <c r="F130" s="357">
        <f>H12</f>
        <v>18</v>
      </c>
      <c r="G130" s="263" t="s">
        <v>1</v>
      </c>
      <c r="H130" s="357">
        <v>4</v>
      </c>
      <c r="I130" s="263" t="s">
        <v>1</v>
      </c>
      <c r="J130" s="358">
        <v>0.4</v>
      </c>
      <c r="K130" s="263" t="s">
        <v>1</v>
      </c>
      <c r="L130" s="358">
        <f>L12</f>
        <v>3.3</v>
      </c>
      <c r="M130" s="260" t="s">
        <v>0</v>
      </c>
      <c r="N130" s="359">
        <f t="shared" ref="N130:N134" si="10">L130*J130*H130*F130</f>
        <v>95.04</v>
      </c>
      <c r="O130" s="244" t="s">
        <v>420</v>
      </c>
      <c r="P130" s="182"/>
      <c r="Q130" s="182"/>
      <c r="R130" s="294"/>
    </row>
    <row r="131" spans="1:30" ht="33.75" customHeight="1">
      <c r="A131" s="198"/>
      <c r="B131" s="1001" t="s">
        <v>412</v>
      </c>
      <c r="C131" s="1001"/>
      <c r="D131" s="1001"/>
      <c r="E131" s="1001"/>
      <c r="F131" s="263">
        <v>1</v>
      </c>
      <c r="G131" s="263" t="s">
        <v>1</v>
      </c>
      <c r="H131" s="357">
        <v>3</v>
      </c>
      <c r="I131" s="263" t="s">
        <v>1</v>
      </c>
      <c r="J131" s="358">
        <v>0.35</v>
      </c>
      <c r="K131" s="263" t="s">
        <v>1</v>
      </c>
      <c r="L131" s="358">
        <f>L32</f>
        <v>51.2</v>
      </c>
      <c r="M131" s="294" t="s">
        <v>0</v>
      </c>
      <c r="N131" s="359">
        <f t="shared" si="10"/>
        <v>53.759999999999991</v>
      </c>
      <c r="O131" s="244" t="s">
        <v>420</v>
      </c>
      <c r="P131" s="182"/>
      <c r="Q131" s="182"/>
      <c r="R131" s="294"/>
    </row>
    <row r="132" spans="1:30" ht="18.75" customHeight="1">
      <c r="A132" s="198"/>
      <c r="B132" s="422"/>
      <c r="C132" s="422"/>
      <c r="D132" s="422"/>
      <c r="E132" s="422"/>
      <c r="F132" s="414">
        <v>1</v>
      </c>
      <c r="G132" s="414" t="s">
        <v>1</v>
      </c>
      <c r="H132" s="203">
        <v>3</v>
      </c>
      <c r="I132" s="414" t="s">
        <v>1</v>
      </c>
      <c r="J132" s="186">
        <v>0.5</v>
      </c>
      <c r="K132" s="414" t="s">
        <v>1</v>
      </c>
      <c r="L132" s="186">
        <f>L22</f>
        <v>42.7</v>
      </c>
      <c r="M132" s="404" t="s">
        <v>0</v>
      </c>
      <c r="N132" s="199">
        <f t="shared" si="10"/>
        <v>64.050000000000011</v>
      </c>
      <c r="O132" s="234" t="s">
        <v>420</v>
      </c>
      <c r="P132" s="182"/>
      <c r="Q132" s="182"/>
      <c r="R132" s="294"/>
    </row>
    <row r="133" spans="1:30" ht="16.5" customHeight="1">
      <c r="A133" s="279"/>
      <c r="B133" s="1011" t="s">
        <v>375</v>
      </c>
      <c r="C133" s="1011"/>
      <c r="D133" s="1011"/>
      <c r="E133" s="1011"/>
      <c r="F133" s="203">
        <v>1</v>
      </c>
      <c r="G133" s="414" t="s">
        <v>1</v>
      </c>
      <c r="H133" s="203">
        <v>2</v>
      </c>
      <c r="I133" s="414" t="s">
        <v>1</v>
      </c>
      <c r="J133" s="186">
        <v>0.2</v>
      </c>
      <c r="K133" s="414" t="s">
        <v>1</v>
      </c>
      <c r="L133" s="186">
        <f>(L132+L131)/2</f>
        <v>46.95</v>
      </c>
      <c r="M133" s="404" t="s">
        <v>0</v>
      </c>
      <c r="N133" s="199">
        <f t="shared" si="10"/>
        <v>18.78</v>
      </c>
      <c r="O133" s="244" t="s">
        <v>420</v>
      </c>
      <c r="P133" s="200"/>
      <c r="Q133" s="200"/>
      <c r="R133" s="265"/>
    </row>
    <row r="134" spans="1:30" ht="16.5" customHeight="1">
      <c r="A134" s="279"/>
      <c r="B134" s="1013" t="s">
        <v>462</v>
      </c>
      <c r="C134" s="1013"/>
      <c r="D134" s="1013"/>
      <c r="E134" s="1013"/>
      <c r="F134" s="203">
        <v>1</v>
      </c>
      <c r="G134" s="414" t="s">
        <v>1</v>
      </c>
      <c r="H134" s="203">
        <v>2</v>
      </c>
      <c r="I134" s="414" t="s">
        <v>1</v>
      </c>
      <c r="J134" s="186">
        <v>3.5</v>
      </c>
      <c r="K134" s="414" t="s">
        <v>1</v>
      </c>
      <c r="L134" s="186">
        <v>6.1</v>
      </c>
      <c r="M134" s="404" t="s">
        <v>0</v>
      </c>
      <c r="N134" s="199">
        <f t="shared" si="10"/>
        <v>42.699999999999996</v>
      </c>
      <c r="O134" s="244" t="s">
        <v>420</v>
      </c>
      <c r="P134" s="200"/>
      <c r="Q134" s="200"/>
      <c r="R134" s="265"/>
    </row>
    <row r="135" spans="1:30" ht="17.25">
      <c r="A135" s="279"/>
      <c r="B135" s="1011" t="s">
        <v>349</v>
      </c>
      <c r="C135" s="1011"/>
      <c r="D135" s="1011"/>
      <c r="E135" s="1011"/>
      <c r="F135" s="203"/>
      <c r="G135" s="414"/>
      <c r="H135" s="203">
        <v>1</v>
      </c>
      <c r="I135" s="414" t="s">
        <v>1</v>
      </c>
      <c r="J135" s="186">
        <f>L61</f>
        <v>6.1</v>
      </c>
      <c r="K135" s="414" t="s">
        <v>1</v>
      </c>
      <c r="L135" s="186">
        <f>L62</f>
        <v>10.4</v>
      </c>
      <c r="M135" s="404" t="s">
        <v>0</v>
      </c>
      <c r="N135" s="213">
        <f>L135*J135*H135</f>
        <v>63.44</v>
      </c>
      <c r="O135" s="265" t="s">
        <v>420</v>
      </c>
      <c r="P135" s="200"/>
      <c r="Q135" s="200"/>
      <c r="R135" s="265"/>
      <c r="W135" s="168"/>
      <c r="X135" s="168"/>
      <c r="Y135" s="168"/>
      <c r="Z135" s="168"/>
      <c r="AA135" s="168"/>
      <c r="AB135" s="168"/>
      <c r="AC135" s="168"/>
      <c r="AD135" s="168"/>
    </row>
    <row r="136" spans="1:30" ht="17.25">
      <c r="A136" s="279"/>
      <c r="B136" s="415"/>
      <c r="C136" s="415"/>
      <c r="D136" s="415"/>
      <c r="E136" s="415"/>
      <c r="F136" s="203"/>
      <c r="G136" s="414"/>
      <c r="H136" s="203">
        <v>1</v>
      </c>
      <c r="I136" s="414" t="s">
        <v>1</v>
      </c>
      <c r="J136" s="186">
        <f>L73</f>
        <v>6.1</v>
      </c>
      <c r="K136" s="414" t="s">
        <v>1</v>
      </c>
      <c r="L136" s="186">
        <f>L74</f>
        <v>15.2</v>
      </c>
      <c r="M136" s="404" t="s">
        <v>0</v>
      </c>
      <c r="N136" s="213">
        <f>L136*J136*H136</f>
        <v>92.719999999999985</v>
      </c>
      <c r="O136" s="265" t="s">
        <v>420</v>
      </c>
      <c r="P136" s="200"/>
      <c r="Q136" s="200"/>
      <c r="R136" s="265"/>
      <c r="W136" s="168"/>
      <c r="X136" s="168"/>
      <c r="Y136" s="168"/>
      <c r="Z136" s="168"/>
      <c r="AA136" s="168"/>
      <c r="AB136" s="168"/>
      <c r="AC136" s="168"/>
      <c r="AD136" s="168"/>
    </row>
    <row r="137" spans="1:30" ht="17.25">
      <c r="A137" s="279"/>
      <c r="B137" s="1011" t="s">
        <v>479</v>
      </c>
      <c r="C137" s="1011"/>
      <c r="D137" s="1011"/>
      <c r="E137" s="1011"/>
      <c r="F137" s="1011"/>
      <c r="G137" s="414"/>
      <c r="H137" s="203">
        <v>1</v>
      </c>
      <c r="I137" s="414" t="s">
        <v>1</v>
      </c>
      <c r="J137" s="186">
        <f>L108</f>
        <v>10.4</v>
      </c>
      <c r="K137" s="414" t="s">
        <v>1</v>
      </c>
      <c r="L137" s="186">
        <f>L107</f>
        <v>2.2000000000000002</v>
      </c>
      <c r="M137" s="404" t="s">
        <v>0</v>
      </c>
      <c r="N137" s="213">
        <f>L137*J137*H137</f>
        <v>22.880000000000003</v>
      </c>
      <c r="O137" s="265" t="s">
        <v>420</v>
      </c>
      <c r="P137" s="200"/>
      <c r="Q137" s="200"/>
      <c r="R137" s="265"/>
      <c r="W137" s="168"/>
      <c r="X137" s="168"/>
      <c r="Y137" s="168"/>
      <c r="Z137" s="168"/>
      <c r="AA137" s="168"/>
      <c r="AB137" s="168"/>
      <c r="AC137" s="168"/>
      <c r="AD137" s="168"/>
    </row>
    <row r="138" spans="1:30" ht="17.25">
      <c r="A138" s="279"/>
      <c r="B138" s="415"/>
      <c r="C138" s="415"/>
      <c r="D138" s="415"/>
      <c r="E138" s="415"/>
      <c r="F138" s="203"/>
      <c r="G138" s="414"/>
      <c r="H138" s="203">
        <v>1</v>
      </c>
      <c r="I138" s="414" t="s">
        <v>1</v>
      </c>
      <c r="J138" s="186">
        <f>L136</f>
        <v>15.2</v>
      </c>
      <c r="K138" s="414" t="s">
        <v>1</v>
      </c>
      <c r="L138" s="186">
        <f>L137</f>
        <v>2.2000000000000002</v>
      </c>
      <c r="M138" s="404" t="s">
        <v>0</v>
      </c>
      <c r="N138" s="213">
        <f>L138*J138*H138</f>
        <v>33.44</v>
      </c>
      <c r="O138" s="265" t="s">
        <v>420</v>
      </c>
      <c r="P138" s="200"/>
      <c r="Q138" s="200"/>
      <c r="R138" s="265"/>
      <c r="W138" s="168"/>
      <c r="X138" s="168"/>
      <c r="Y138" s="168"/>
      <c r="Z138" s="168"/>
      <c r="AA138" s="168"/>
      <c r="AB138" s="168"/>
      <c r="AC138" s="168"/>
      <c r="AD138" s="168"/>
    </row>
    <row r="139" spans="1:30" ht="17.25">
      <c r="A139" s="385"/>
      <c r="B139" s="185"/>
      <c r="C139" s="185"/>
      <c r="D139" s="185"/>
      <c r="E139" s="185"/>
      <c r="F139" s="185"/>
      <c r="G139" s="185"/>
      <c r="H139" s="185"/>
      <c r="I139" s="185"/>
      <c r="J139" s="185"/>
      <c r="K139" s="1012" t="s">
        <v>8</v>
      </c>
      <c r="L139" s="1012"/>
      <c r="M139" s="228" t="s">
        <v>0</v>
      </c>
      <c r="N139" s="235">
        <f>SUM(N130:N138)</f>
        <v>486.81</v>
      </c>
      <c r="O139" s="360" t="s">
        <v>420</v>
      </c>
      <c r="P139" s="185"/>
      <c r="Q139" s="185"/>
      <c r="R139" s="244"/>
    </row>
    <row r="140" spans="1:30" ht="21" customHeight="1">
      <c r="A140" s="198"/>
      <c r="B140" s="182"/>
      <c r="C140" s="182"/>
      <c r="D140" s="182"/>
      <c r="E140" s="182"/>
      <c r="F140" s="182"/>
      <c r="G140" s="182"/>
      <c r="H140" s="182"/>
      <c r="I140" s="182"/>
      <c r="J140" s="193" t="s">
        <v>350</v>
      </c>
      <c r="K140" s="407" t="s">
        <v>11</v>
      </c>
      <c r="L140" s="989">
        <v>389</v>
      </c>
      <c r="M140" s="989"/>
      <c r="N140" s="418" t="s">
        <v>421</v>
      </c>
      <c r="O140" s="294"/>
      <c r="P140" s="190" t="s">
        <v>0</v>
      </c>
      <c r="Q140" s="205" t="s">
        <v>11</v>
      </c>
      <c r="R140" s="269">
        <f>ROUND(N139*L140,0)</f>
        <v>189369</v>
      </c>
    </row>
    <row r="141" spans="1:30" ht="13.5" customHeight="1">
      <c r="A141" s="198"/>
      <c r="B141" s="182"/>
      <c r="C141" s="182"/>
      <c r="D141" s="182"/>
      <c r="E141" s="182"/>
      <c r="F141" s="182"/>
      <c r="G141" s="182"/>
      <c r="H141" s="182"/>
      <c r="I141" s="182"/>
      <c r="J141" s="193"/>
      <c r="K141" s="407"/>
      <c r="L141" s="407"/>
      <c r="M141" s="407"/>
      <c r="N141" s="418"/>
      <c r="O141" s="294"/>
      <c r="P141" s="190"/>
      <c r="Q141" s="205"/>
      <c r="R141" s="269"/>
    </row>
    <row r="142" spans="1:30" ht="78.75" customHeight="1">
      <c r="A142" s="412" t="s">
        <v>434</v>
      </c>
      <c r="B142" s="999" t="s">
        <v>465</v>
      </c>
      <c r="C142" s="999"/>
      <c r="D142" s="999"/>
      <c r="E142" s="999"/>
      <c r="F142" s="999"/>
      <c r="G142" s="999"/>
      <c r="H142" s="999"/>
      <c r="I142" s="999"/>
      <c r="J142" s="999"/>
      <c r="K142" s="999"/>
      <c r="L142" s="999"/>
      <c r="M142" s="999"/>
      <c r="N142" s="999"/>
      <c r="O142" s="999"/>
      <c r="P142" s="200"/>
      <c r="Q142" s="200"/>
      <c r="R142" s="265"/>
    </row>
    <row r="143" spans="1:30" ht="17.25" customHeight="1">
      <c r="A143" s="412"/>
      <c r="B143" s="995" t="s">
        <v>466</v>
      </c>
      <c r="C143" s="995"/>
      <c r="D143" s="995"/>
      <c r="E143" s="995"/>
      <c r="F143" s="995"/>
      <c r="G143" s="995"/>
      <c r="H143" s="995"/>
      <c r="I143" s="403"/>
      <c r="J143" s="403"/>
      <c r="K143" s="403"/>
      <c r="L143" s="403"/>
      <c r="M143" s="403"/>
      <c r="N143" s="403"/>
      <c r="O143" s="403"/>
      <c r="P143" s="200"/>
      <c r="Q143" s="200"/>
      <c r="R143" s="265"/>
    </row>
    <row r="144" spans="1:30" ht="19.5" customHeight="1">
      <c r="A144" s="279"/>
      <c r="B144" s="1009" t="s">
        <v>446</v>
      </c>
      <c r="C144" s="1009"/>
      <c r="D144" s="1009"/>
      <c r="E144" s="1009"/>
      <c r="F144" s="1009"/>
      <c r="G144" s="1009"/>
      <c r="H144" s="1009"/>
      <c r="I144" s="1009"/>
      <c r="J144" s="1009"/>
      <c r="K144" s="190"/>
      <c r="L144" s="187"/>
      <c r="M144" s="190"/>
      <c r="N144" s="213"/>
      <c r="O144" s="294"/>
      <c r="P144" s="200"/>
      <c r="Q144" s="200"/>
      <c r="R144" s="265"/>
    </row>
    <row r="145" spans="1:30" ht="18" customHeight="1">
      <c r="A145" s="385"/>
      <c r="B145" s="1010" t="s">
        <v>411</v>
      </c>
      <c r="C145" s="1010"/>
      <c r="D145" s="1010"/>
      <c r="E145" s="1010"/>
      <c r="F145" s="203">
        <f>H12</f>
        <v>18</v>
      </c>
      <c r="G145" s="414" t="s">
        <v>1</v>
      </c>
      <c r="H145" s="186">
        <v>0.4</v>
      </c>
      <c r="I145" s="414" t="s">
        <v>1</v>
      </c>
      <c r="J145" s="186">
        <v>0.4</v>
      </c>
      <c r="K145" s="414" t="s">
        <v>1</v>
      </c>
      <c r="L145" s="186">
        <v>3</v>
      </c>
      <c r="M145" s="190" t="s">
        <v>0</v>
      </c>
      <c r="N145" s="199">
        <f t="shared" ref="N145" si="11">ROUND(F145*H145*J145*L145,2)</f>
        <v>8.64</v>
      </c>
      <c r="O145" s="294" t="s">
        <v>418</v>
      </c>
      <c r="P145" s="185"/>
      <c r="Q145" s="185"/>
      <c r="R145" s="244"/>
      <c r="AB145" s="396"/>
    </row>
    <row r="146" spans="1:30" ht="17.25" customHeight="1">
      <c r="A146" s="385"/>
      <c r="B146" s="1009" t="s">
        <v>428</v>
      </c>
      <c r="C146" s="1009"/>
      <c r="D146" s="1009"/>
      <c r="E146" s="1009"/>
      <c r="F146" s="1009"/>
      <c r="G146" s="1009"/>
      <c r="H146" s="1009"/>
      <c r="I146" s="1009"/>
      <c r="J146" s="1009"/>
      <c r="K146" s="414"/>
      <c r="L146" s="186"/>
      <c r="M146" s="190"/>
      <c r="N146" s="199"/>
      <c r="O146" s="294"/>
      <c r="P146" s="185"/>
      <c r="Q146" s="185"/>
      <c r="R146" s="244"/>
      <c r="AB146" s="396"/>
    </row>
    <row r="147" spans="1:30" ht="15" customHeight="1">
      <c r="A147" s="385"/>
      <c r="B147" s="1009"/>
      <c r="C147" s="1009"/>
      <c r="D147" s="185"/>
      <c r="E147" s="185"/>
      <c r="F147" s="203">
        <v>1</v>
      </c>
      <c r="G147" s="414" t="s">
        <v>1</v>
      </c>
      <c r="H147" s="186">
        <f>L131</f>
        <v>51.2</v>
      </c>
      <c r="I147" s="414" t="s">
        <v>1</v>
      </c>
      <c r="J147" s="186">
        <v>0.25</v>
      </c>
      <c r="K147" s="414" t="s">
        <v>1</v>
      </c>
      <c r="L147" s="186">
        <v>0.35</v>
      </c>
      <c r="M147" s="190" t="s">
        <v>0</v>
      </c>
      <c r="N147" s="199">
        <f t="shared" ref="N147" si="12">ROUND(F147*H147*J147*L147,2)</f>
        <v>4.4800000000000004</v>
      </c>
      <c r="O147" s="294" t="s">
        <v>418</v>
      </c>
      <c r="P147" s="185"/>
      <c r="Q147" s="185"/>
      <c r="R147" s="244"/>
      <c r="V147" s="157" t="s">
        <v>374</v>
      </c>
    </row>
    <row r="148" spans="1:30" ht="15" customHeight="1">
      <c r="A148" s="385"/>
      <c r="B148" s="414"/>
      <c r="C148" s="414"/>
      <c r="D148" s="185"/>
      <c r="E148" s="185"/>
      <c r="F148" s="203">
        <v>1</v>
      </c>
      <c r="G148" s="414" t="s">
        <v>1</v>
      </c>
      <c r="H148" s="186">
        <f>L132</f>
        <v>42.7</v>
      </c>
      <c r="I148" s="414" t="s">
        <v>1</v>
      </c>
      <c r="J148" s="186">
        <v>0.3</v>
      </c>
      <c r="K148" s="414" t="s">
        <v>1</v>
      </c>
      <c r="L148" s="186">
        <v>0.5</v>
      </c>
      <c r="M148" s="190" t="s">
        <v>0</v>
      </c>
      <c r="N148" s="199">
        <f>ROUND(F148*H148*J148*L148,2)</f>
        <v>6.41</v>
      </c>
      <c r="O148" s="294" t="s">
        <v>418</v>
      </c>
      <c r="P148" s="185"/>
      <c r="Q148" s="185"/>
      <c r="R148" s="244"/>
    </row>
    <row r="149" spans="1:30" ht="15" customHeight="1">
      <c r="A149" s="385"/>
      <c r="B149" s="1009" t="s">
        <v>462</v>
      </c>
      <c r="C149" s="1009"/>
      <c r="D149" s="1009"/>
      <c r="E149" s="185"/>
      <c r="F149" s="203">
        <v>1</v>
      </c>
      <c r="G149" s="414" t="s">
        <v>1</v>
      </c>
      <c r="H149" s="186">
        <v>3.5</v>
      </c>
      <c r="I149" s="414" t="s">
        <v>1</v>
      </c>
      <c r="J149" s="186">
        <v>6.1</v>
      </c>
      <c r="K149" s="414" t="s">
        <v>1</v>
      </c>
      <c r="L149" s="186">
        <v>0.2</v>
      </c>
      <c r="M149" s="190" t="s">
        <v>0</v>
      </c>
      <c r="N149" s="199">
        <f>ROUND(F149*H149*J149*L149,2)</f>
        <v>4.2699999999999996</v>
      </c>
      <c r="O149" s="294" t="s">
        <v>418</v>
      </c>
      <c r="P149" s="185"/>
      <c r="Q149" s="185"/>
      <c r="R149" s="244"/>
    </row>
    <row r="150" spans="1:30" ht="16.5" customHeight="1">
      <c r="A150" s="279"/>
      <c r="B150" s="1011" t="s">
        <v>375</v>
      </c>
      <c r="C150" s="1011"/>
      <c r="D150" s="1011"/>
      <c r="E150" s="1011"/>
      <c r="F150" s="203"/>
      <c r="G150" s="414"/>
      <c r="H150" s="203">
        <v>2</v>
      </c>
      <c r="I150" s="414" t="s">
        <v>1</v>
      </c>
      <c r="J150" s="186">
        <v>0.2</v>
      </c>
      <c r="K150" s="414" t="s">
        <v>1</v>
      </c>
      <c r="L150" s="186">
        <f>L133/2</f>
        <v>23.475000000000001</v>
      </c>
      <c r="M150" s="404" t="s">
        <v>0</v>
      </c>
      <c r="N150" s="199">
        <f>L150*J150*H150</f>
        <v>9.39</v>
      </c>
      <c r="O150" s="294" t="s">
        <v>418</v>
      </c>
      <c r="P150" s="200"/>
      <c r="Q150" s="200"/>
      <c r="R150" s="265"/>
    </row>
    <row r="151" spans="1:30" ht="17.25">
      <c r="A151" s="279"/>
      <c r="B151" s="996" t="s">
        <v>349</v>
      </c>
      <c r="C151" s="996"/>
      <c r="D151" s="996"/>
      <c r="E151" s="996"/>
      <c r="F151" s="203"/>
      <c r="G151" s="414"/>
      <c r="H151" s="186">
        <f>J135</f>
        <v>6.1</v>
      </c>
      <c r="I151" s="414" t="s">
        <v>1</v>
      </c>
      <c r="J151" s="186">
        <f>L135</f>
        <v>10.4</v>
      </c>
      <c r="K151" s="414" t="s">
        <v>1</v>
      </c>
      <c r="L151" s="186">
        <f>0.15</f>
        <v>0.15</v>
      </c>
      <c r="M151" s="404" t="s">
        <v>0</v>
      </c>
      <c r="N151" s="213">
        <f>L151*J151*H151</f>
        <v>9.516</v>
      </c>
      <c r="O151" s="294" t="s">
        <v>418</v>
      </c>
      <c r="P151" s="200"/>
      <c r="Q151" s="200"/>
      <c r="R151" s="265"/>
      <c r="W151" s="168"/>
      <c r="X151" s="168"/>
      <c r="Y151" s="168"/>
      <c r="Z151" s="168"/>
      <c r="AA151" s="168"/>
      <c r="AB151" s="168"/>
      <c r="AC151" s="168"/>
      <c r="AD151" s="168"/>
    </row>
    <row r="152" spans="1:30" ht="17.25">
      <c r="A152" s="279"/>
      <c r="B152" s="404"/>
      <c r="C152" s="404"/>
      <c r="D152" s="404"/>
      <c r="E152" s="404"/>
      <c r="F152" s="203"/>
      <c r="G152" s="414"/>
      <c r="H152" s="186">
        <f>J136</f>
        <v>6.1</v>
      </c>
      <c r="I152" s="414" t="s">
        <v>1</v>
      </c>
      <c r="J152" s="186">
        <f>L136</f>
        <v>15.2</v>
      </c>
      <c r="K152" s="414" t="s">
        <v>1</v>
      </c>
      <c r="L152" s="186">
        <f>L151</f>
        <v>0.15</v>
      </c>
      <c r="M152" s="404" t="s">
        <v>0</v>
      </c>
      <c r="N152" s="213">
        <f>L152*J152*H152</f>
        <v>13.907999999999998</v>
      </c>
      <c r="O152" s="294" t="s">
        <v>418</v>
      </c>
      <c r="P152" s="200"/>
      <c r="Q152" s="200"/>
      <c r="R152" s="265"/>
      <c r="W152" s="168"/>
      <c r="X152" s="168"/>
      <c r="Y152" s="168"/>
      <c r="Z152" s="168"/>
      <c r="AA152" s="168"/>
      <c r="AB152" s="168"/>
      <c r="AC152" s="168"/>
      <c r="AD152" s="168"/>
    </row>
    <row r="153" spans="1:30" ht="19.5" customHeight="1">
      <c r="A153" s="279"/>
      <c r="B153" s="1005" t="s">
        <v>464</v>
      </c>
      <c r="C153" s="1005"/>
      <c r="D153" s="1005"/>
      <c r="E153" s="1005"/>
      <c r="F153" s="1005"/>
      <c r="G153" s="414"/>
      <c r="H153" s="186">
        <f>J151</f>
        <v>10.4</v>
      </c>
      <c r="I153" s="414" t="s">
        <v>1</v>
      </c>
      <c r="J153" s="186">
        <f>L137</f>
        <v>2.2000000000000002</v>
      </c>
      <c r="K153" s="414" t="s">
        <v>1</v>
      </c>
      <c r="L153" s="186">
        <f>L152</f>
        <v>0.15</v>
      </c>
      <c r="M153" s="404" t="s">
        <v>0</v>
      </c>
      <c r="N153" s="213">
        <f>L153*J153*H153</f>
        <v>3.4320000000000004</v>
      </c>
      <c r="O153" s="294" t="s">
        <v>418</v>
      </c>
      <c r="P153" s="200"/>
      <c r="Q153" s="200"/>
      <c r="R153" s="265"/>
      <c r="W153" s="168"/>
      <c r="X153" s="168"/>
      <c r="Y153" s="168"/>
      <c r="Z153" s="168"/>
      <c r="AA153" s="168"/>
      <c r="AB153" s="168"/>
      <c r="AC153" s="168"/>
      <c r="AD153" s="168"/>
    </row>
    <row r="154" spans="1:30" ht="17.25">
      <c r="A154" s="279"/>
      <c r="B154" s="404"/>
      <c r="C154" s="404"/>
      <c r="D154" s="404"/>
      <c r="E154" s="404"/>
      <c r="F154" s="203"/>
      <c r="G154" s="414"/>
      <c r="H154" s="186">
        <f>J152</f>
        <v>15.2</v>
      </c>
      <c r="I154" s="414" t="s">
        <v>1</v>
      </c>
      <c r="J154" s="186">
        <f>L137</f>
        <v>2.2000000000000002</v>
      </c>
      <c r="K154" s="414" t="s">
        <v>1</v>
      </c>
      <c r="L154" s="186">
        <f>L153</f>
        <v>0.15</v>
      </c>
      <c r="M154" s="404" t="s">
        <v>0</v>
      </c>
      <c r="N154" s="213">
        <f>L154*J154*H154</f>
        <v>5.016</v>
      </c>
      <c r="O154" s="294" t="s">
        <v>418</v>
      </c>
      <c r="P154" s="200"/>
      <c r="Q154" s="200"/>
      <c r="R154" s="265"/>
      <c r="W154" s="168"/>
      <c r="X154" s="168"/>
      <c r="Y154" s="168"/>
      <c r="Z154" s="168"/>
      <c r="AA154" s="168"/>
      <c r="AB154" s="168"/>
      <c r="AC154" s="168"/>
      <c r="AD154" s="168"/>
    </row>
    <row r="155" spans="1:30" ht="15" customHeight="1">
      <c r="A155" s="385"/>
      <c r="B155" s="185"/>
      <c r="C155" s="185"/>
      <c r="D155" s="185"/>
      <c r="E155" s="185"/>
      <c r="F155" s="185"/>
      <c r="G155" s="185"/>
      <c r="H155" s="185"/>
      <c r="I155" s="185"/>
      <c r="J155" s="185"/>
      <c r="K155" s="996" t="s">
        <v>8</v>
      </c>
      <c r="L155" s="996"/>
      <c r="M155" s="190" t="s">
        <v>0</v>
      </c>
      <c r="N155" s="235">
        <f>SUM(N144:N154)</f>
        <v>65.061999999999998</v>
      </c>
      <c r="O155" s="280" t="s">
        <v>418</v>
      </c>
      <c r="P155" s="185"/>
      <c r="Q155" s="185"/>
      <c r="R155" s="244"/>
    </row>
    <row r="156" spans="1:30" s="369" customFormat="1" ht="21" customHeight="1">
      <c r="A156" s="198"/>
      <c r="B156" s="368"/>
      <c r="C156" s="368"/>
      <c r="D156" s="368"/>
      <c r="E156" s="368"/>
      <c r="F156" s="368"/>
      <c r="G156" s="368"/>
      <c r="H156" s="368"/>
      <c r="I156" s="368"/>
      <c r="J156" s="393" t="s">
        <v>350</v>
      </c>
      <c r="K156" s="405" t="s">
        <v>11</v>
      </c>
      <c r="L156" s="1007">
        <f>9235+93+93</f>
        <v>9421</v>
      </c>
      <c r="M156" s="1007"/>
      <c r="N156" s="394" t="s">
        <v>419</v>
      </c>
      <c r="O156" s="294"/>
      <c r="P156" s="259" t="s">
        <v>0</v>
      </c>
      <c r="Q156" s="395" t="s">
        <v>11</v>
      </c>
      <c r="R156" s="268">
        <f>ROUND(N155*L156,0)</f>
        <v>612949</v>
      </c>
    </row>
    <row r="157" spans="1:30" s="369" customFormat="1" ht="18" customHeight="1">
      <c r="A157" s="198"/>
      <c r="B157" s="368"/>
      <c r="C157" s="368"/>
      <c r="D157" s="368"/>
      <c r="E157" s="368"/>
      <c r="F157" s="368"/>
      <c r="G157" s="368"/>
      <c r="H157" s="368"/>
      <c r="I157" s="368"/>
      <c r="J157" s="393"/>
      <c r="K157" s="405"/>
      <c r="L157" s="405"/>
      <c r="M157" s="405"/>
      <c r="N157" s="394"/>
      <c r="O157" s="294"/>
      <c r="P157" s="259"/>
      <c r="Q157" s="395"/>
      <c r="R157" s="268"/>
    </row>
    <row r="158" spans="1:30" s="369" customFormat="1" ht="18" customHeight="1">
      <c r="A158" s="198"/>
      <c r="B158" s="368"/>
      <c r="C158" s="368"/>
      <c r="D158" s="368"/>
      <c r="E158" s="368"/>
      <c r="F158" s="368"/>
      <c r="G158" s="368"/>
      <c r="H158" s="368"/>
      <c r="I158" s="368"/>
      <c r="J158" s="393"/>
      <c r="K158" s="405"/>
      <c r="L158" s="405"/>
      <c r="M158" s="405"/>
      <c r="N158" s="394"/>
      <c r="O158" s="294"/>
      <c r="P158" s="259"/>
      <c r="Q158" s="395"/>
      <c r="R158" s="268"/>
    </row>
    <row r="159" spans="1:30" s="369" customFormat="1" ht="18" customHeight="1">
      <c r="A159" s="198"/>
      <c r="B159" s="368"/>
      <c r="C159" s="368"/>
      <c r="D159" s="368"/>
      <c r="E159" s="368"/>
      <c r="F159" s="368"/>
      <c r="G159" s="368"/>
      <c r="H159" s="368"/>
      <c r="I159" s="368"/>
      <c r="J159" s="393"/>
      <c r="K159" s="405"/>
      <c r="L159" s="405"/>
      <c r="M159" s="405"/>
      <c r="N159" s="394"/>
      <c r="O159" s="294"/>
      <c r="P159" s="259"/>
      <c r="Q159" s="395"/>
      <c r="R159" s="268"/>
    </row>
    <row r="160" spans="1:30" s="369" customFormat="1" ht="18" customHeight="1">
      <c r="A160" s="198"/>
      <c r="B160" s="368"/>
      <c r="C160" s="368"/>
      <c r="D160" s="368"/>
      <c r="E160" s="368"/>
      <c r="F160" s="368"/>
      <c r="G160" s="368"/>
      <c r="H160" s="368"/>
      <c r="I160" s="368"/>
      <c r="J160" s="393"/>
      <c r="K160" s="405"/>
      <c r="L160" s="405"/>
      <c r="M160" s="405"/>
      <c r="N160" s="394"/>
      <c r="O160" s="294"/>
      <c r="P160" s="259"/>
      <c r="Q160" s="395"/>
      <c r="R160" s="268"/>
    </row>
    <row r="161" spans="1:20" s="369" customFormat="1" ht="18" customHeight="1">
      <c r="A161" s="198"/>
      <c r="B161" s="368"/>
      <c r="C161" s="368"/>
      <c r="D161" s="368"/>
      <c r="E161" s="368"/>
      <c r="F161" s="368"/>
      <c r="G161" s="368"/>
      <c r="H161" s="368"/>
      <c r="I161" s="368"/>
      <c r="J161" s="393"/>
      <c r="K161" s="430"/>
      <c r="L161" s="430"/>
      <c r="M161" s="430"/>
      <c r="N161" s="394"/>
      <c r="O161" s="294"/>
      <c r="P161" s="259"/>
      <c r="Q161" s="395"/>
      <c r="R161" s="268"/>
    </row>
    <row r="162" spans="1:20" s="369" customFormat="1" ht="18" customHeight="1">
      <c r="A162" s="198"/>
      <c r="B162" s="368"/>
      <c r="C162" s="368"/>
      <c r="D162" s="368"/>
      <c r="E162" s="368"/>
      <c r="F162" s="368"/>
      <c r="G162" s="368"/>
      <c r="H162" s="368"/>
      <c r="I162" s="368"/>
      <c r="J162" s="393"/>
      <c r="K162" s="405"/>
      <c r="L162" s="405"/>
      <c r="M162" s="405"/>
      <c r="N162" s="394"/>
      <c r="O162" s="294"/>
      <c r="P162" s="259"/>
      <c r="Q162" s="395"/>
      <c r="R162" s="268"/>
    </row>
    <row r="163" spans="1:20" ht="18" customHeight="1">
      <c r="A163" s="198"/>
      <c r="B163" s="182"/>
      <c r="C163" s="182"/>
      <c r="D163" s="182"/>
      <c r="E163" s="182"/>
      <c r="F163" s="182"/>
      <c r="G163" s="182"/>
      <c r="H163" s="368"/>
      <c r="I163" s="368"/>
      <c r="J163" s="393"/>
      <c r="K163" s="405"/>
      <c r="L163" s="1007"/>
      <c r="M163" s="1007"/>
      <c r="N163" s="394"/>
      <c r="O163" s="294"/>
      <c r="P163" s="259"/>
      <c r="Q163" s="395"/>
      <c r="R163" s="268"/>
    </row>
    <row r="164" spans="1:20" s="361" customFormat="1" ht="16.5" customHeight="1">
      <c r="A164" s="423"/>
      <c r="B164" s="211"/>
      <c r="C164" s="211"/>
      <c r="D164" s="211"/>
      <c r="E164" s="211"/>
      <c r="F164" s="211"/>
      <c r="G164" s="211"/>
      <c r="H164" s="211"/>
      <c r="I164" s="211"/>
      <c r="J164" s="193"/>
      <c r="K164" s="407"/>
      <c r="L164" s="407"/>
      <c r="M164" s="407"/>
      <c r="N164" s="418"/>
      <c r="O164" s="391" t="s">
        <v>24</v>
      </c>
      <c r="P164" s="251" t="s">
        <v>0</v>
      </c>
      <c r="Q164" s="252" t="s">
        <v>11</v>
      </c>
      <c r="R164" s="392">
        <f>SUM(R126:R163)</f>
        <v>2108276</v>
      </c>
    </row>
    <row r="165" spans="1:20" s="361" customFormat="1" ht="16.5" customHeight="1">
      <c r="A165" s="423"/>
      <c r="B165" s="211"/>
      <c r="C165" s="211"/>
      <c r="D165" s="211"/>
      <c r="E165" s="211"/>
      <c r="F165" s="211"/>
      <c r="G165" s="211"/>
      <c r="H165" s="211"/>
      <c r="I165" s="211"/>
      <c r="J165" s="193"/>
      <c r="K165" s="407"/>
      <c r="L165" s="407"/>
      <c r="M165" s="407"/>
      <c r="N165" s="418"/>
      <c r="O165" s="391" t="s">
        <v>25</v>
      </c>
      <c r="P165" s="251" t="s">
        <v>0</v>
      </c>
      <c r="Q165" s="252" t="s">
        <v>11</v>
      </c>
      <c r="R165" s="392">
        <f>R164</f>
        <v>2108276</v>
      </c>
    </row>
    <row r="166" spans="1:20" s="361" customFormat="1" ht="16.5" customHeight="1">
      <c r="A166" s="423"/>
      <c r="B166" s="211"/>
      <c r="C166" s="211"/>
      <c r="D166" s="211"/>
      <c r="E166" s="211"/>
      <c r="F166" s="211"/>
      <c r="G166" s="211"/>
      <c r="H166" s="211"/>
      <c r="I166" s="211"/>
      <c r="J166" s="193"/>
      <c r="K166" s="407"/>
      <c r="L166" s="407"/>
      <c r="M166" s="407"/>
      <c r="N166" s="418"/>
      <c r="O166" s="391"/>
      <c r="P166" s="251"/>
      <c r="Q166" s="252"/>
      <c r="R166" s="392"/>
    </row>
    <row r="167" spans="1:20" s="361" customFormat="1" ht="109.5" customHeight="1">
      <c r="A167" s="412" t="s">
        <v>470</v>
      </c>
      <c r="B167" s="999" t="s">
        <v>467</v>
      </c>
      <c r="C167" s="999"/>
      <c r="D167" s="999"/>
      <c r="E167" s="999"/>
      <c r="F167" s="999"/>
      <c r="G167" s="999"/>
      <c r="H167" s="999"/>
      <c r="I167" s="999"/>
      <c r="J167" s="999"/>
      <c r="K167" s="999"/>
      <c r="L167" s="999"/>
      <c r="M167" s="999"/>
      <c r="N167" s="999"/>
      <c r="O167" s="999"/>
      <c r="P167" s="251"/>
      <c r="Q167" s="252"/>
      <c r="R167" s="392"/>
    </row>
    <row r="168" spans="1:20" s="361" customFormat="1" ht="15.75" customHeight="1">
      <c r="A168" s="412"/>
      <c r="B168" s="403"/>
      <c r="C168" s="403"/>
      <c r="D168" s="403"/>
      <c r="E168" s="403"/>
      <c r="F168" s="403"/>
      <c r="G168" s="403"/>
      <c r="H168" s="403"/>
      <c r="I168" s="403"/>
      <c r="J168" s="403"/>
      <c r="K168" s="403"/>
      <c r="L168" s="403"/>
      <c r="M168" s="403"/>
      <c r="N168" s="403"/>
      <c r="O168" s="403"/>
      <c r="P168" s="251"/>
      <c r="Q168" s="252"/>
      <c r="R168" s="392"/>
    </row>
    <row r="169" spans="1:20" s="361" customFormat="1" ht="16.5" customHeight="1">
      <c r="A169" s="423"/>
      <c r="B169" s="1005" t="s">
        <v>468</v>
      </c>
      <c r="C169" s="1005"/>
      <c r="D169" s="1005"/>
      <c r="E169" s="1005"/>
      <c r="F169" s="424">
        <v>16</v>
      </c>
      <c r="G169" s="414" t="s">
        <v>1</v>
      </c>
      <c r="H169" s="186">
        <v>4.2</v>
      </c>
      <c r="I169" s="414" t="s">
        <v>1</v>
      </c>
      <c r="J169" s="186">
        <v>0.6</v>
      </c>
      <c r="K169" s="414" t="s">
        <v>1</v>
      </c>
      <c r="L169" s="186">
        <v>0.15</v>
      </c>
      <c r="M169" s="404" t="s">
        <v>0</v>
      </c>
      <c r="N169" s="213">
        <f>L169*J169*H169*F169</f>
        <v>6.048</v>
      </c>
      <c r="O169" s="294" t="s">
        <v>418</v>
      </c>
      <c r="P169" s="200"/>
      <c r="Q169" s="200"/>
      <c r="R169" s="265"/>
    </row>
    <row r="170" spans="1:20" s="361" customFormat="1" ht="16.5" customHeight="1">
      <c r="A170" s="423"/>
      <c r="B170" s="185"/>
      <c r="C170" s="185"/>
      <c r="D170" s="185"/>
      <c r="E170" s="185"/>
      <c r="F170" s="185"/>
      <c r="G170" s="185"/>
      <c r="H170" s="185"/>
      <c r="I170" s="185"/>
      <c r="J170" s="185"/>
      <c r="K170" s="996" t="s">
        <v>8</v>
      </c>
      <c r="L170" s="996"/>
      <c r="M170" s="190" t="s">
        <v>0</v>
      </c>
      <c r="N170" s="235">
        <f>SUM(N169)</f>
        <v>6.048</v>
      </c>
      <c r="O170" s="280" t="s">
        <v>418</v>
      </c>
      <c r="P170" s="185"/>
      <c r="Q170" s="185"/>
      <c r="R170" s="244"/>
    </row>
    <row r="171" spans="1:20" s="361" customFormat="1" ht="16.5" customHeight="1">
      <c r="A171" s="423"/>
      <c r="B171" s="368"/>
      <c r="C171" s="368"/>
      <c r="D171" s="368"/>
      <c r="E171" s="368"/>
      <c r="F171" s="368"/>
      <c r="G171" s="368"/>
      <c r="H171" s="368"/>
      <c r="I171" s="368"/>
      <c r="J171" s="393" t="s">
        <v>350</v>
      </c>
      <c r="K171" s="405" t="s">
        <v>11</v>
      </c>
      <c r="L171" s="1007">
        <f>9948</f>
        <v>9948</v>
      </c>
      <c r="M171" s="1007"/>
      <c r="N171" s="394" t="s">
        <v>419</v>
      </c>
      <c r="O171" s="294"/>
      <c r="P171" s="259" t="s">
        <v>0</v>
      </c>
      <c r="Q171" s="395" t="s">
        <v>11</v>
      </c>
      <c r="R171" s="268">
        <f>ROUND(N170*L171,0)</f>
        <v>60166</v>
      </c>
    </row>
    <row r="172" spans="1:20" s="361" customFormat="1" ht="16.5" customHeight="1">
      <c r="A172" s="423"/>
      <c r="B172" s="211"/>
      <c r="C172" s="211"/>
      <c r="D172" s="211"/>
      <c r="E172" s="211"/>
      <c r="F172" s="211"/>
      <c r="G172" s="211"/>
      <c r="H172" s="211"/>
      <c r="I172" s="211"/>
      <c r="J172" s="193"/>
      <c r="K172" s="407"/>
      <c r="L172" s="407"/>
      <c r="M172" s="407"/>
      <c r="N172" s="418"/>
      <c r="O172" s="391"/>
      <c r="P172" s="251"/>
      <c r="Q172" s="252"/>
      <c r="R172" s="392"/>
    </row>
    <row r="173" spans="1:20" ht="78.75" customHeight="1">
      <c r="A173" s="412" t="s">
        <v>471</v>
      </c>
      <c r="B173" s="999" t="s">
        <v>355</v>
      </c>
      <c r="C173" s="999"/>
      <c r="D173" s="999"/>
      <c r="E173" s="999"/>
      <c r="F173" s="999"/>
      <c r="G173" s="999"/>
      <c r="H173" s="999"/>
      <c r="I173" s="999"/>
      <c r="J173" s="999"/>
      <c r="K173" s="999"/>
      <c r="L173" s="999"/>
      <c r="M173" s="999"/>
      <c r="N173" s="999"/>
      <c r="O173" s="999"/>
      <c r="P173" s="184"/>
      <c r="Q173" s="197"/>
      <c r="R173" s="268"/>
      <c r="T173" s="168"/>
    </row>
    <row r="174" spans="1:20" ht="15" customHeight="1">
      <c r="A174" s="387"/>
      <c r="B174" s="210" t="s">
        <v>358</v>
      </c>
      <c r="C174" s="185"/>
      <c r="D174" s="185"/>
      <c r="E174" s="185"/>
      <c r="F174" s="185"/>
      <c r="G174" s="185"/>
      <c r="H174" s="203"/>
      <c r="I174" s="414"/>
      <c r="J174" s="186"/>
      <c r="K174" s="414"/>
      <c r="L174" s="186"/>
      <c r="M174" s="190"/>
      <c r="N174" s="213"/>
      <c r="O174" s="244"/>
      <c r="P174" s="184"/>
      <c r="Q174" s="197"/>
      <c r="R174" s="268"/>
      <c r="T174" s="168"/>
    </row>
    <row r="175" spans="1:20" ht="15" customHeight="1">
      <c r="A175" s="387"/>
      <c r="B175" s="210" t="s">
        <v>381</v>
      </c>
      <c r="C175" s="185"/>
      <c r="D175" s="185"/>
      <c r="E175" s="185"/>
      <c r="F175" s="185"/>
      <c r="G175" s="185"/>
      <c r="H175" s="203">
        <v>1</v>
      </c>
      <c r="I175" s="414" t="s">
        <v>1</v>
      </c>
      <c r="J175" s="186">
        <f>L131+L132</f>
        <v>93.9</v>
      </c>
      <c r="K175" s="414" t="s">
        <v>1</v>
      </c>
      <c r="L175" s="186">
        <f>L12</f>
        <v>3.3</v>
      </c>
      <c r="M175" s="404" t="s">
        <v>0</v>
      </c>
      <c r="N175" s="213">
        <f t="shared" ref="N175:N177" si="13">L175*J175*H175</f>
        <v>309.87</v>
      </c>
      <c r="O175" s="244" t="s">
        <v>420</v>
      </c>
      <c r="P175" s="184"/>
      <c r="Q175" s="197"/>
      <c r="R175" s="268"/>
      <c r="T175" s="168"/>
    </row>
    <row r="176" spans="1:20" ht="15" customHeight="1">
      <c r="A176" s="387"/>
      <c r="B176" s="185" t="s">
        <v>376</v>
      </c>
      <c r="C176" s="185"/>
      <c r="D176" s="185"/>
      <c r="E176" s="185"/>
      <c r="F176" s="185"/>
      <c r="G176" s="185"/>
      <c r="H176" s="203">
        <v>10</v>
      </c>
      <c r="I176" s="414" t="s">
        <v>1</v>
      </c>
      <c r="J176" s="186">
        <v>2.1</v>
      </c>
      <c r="K176" s="414" t="s">
        <v>1</v>
      </c>
      <c r="L176" s="186">
        <v>1</v>
      </c>
      <c r="M176" s="190" t="s">
        <v>0</v>
      </c>
      <c r="N176" s="213">
        <f t="shared" si="13"/>
        <v>21</v>
      </c>
      <c r="O176" s="244" t="s">
        <v>420</v>
      </c>
      <c r="P176" s="184"/>
      <c r="Q176" s="197"/>
      <c r="R176" s="268"/>
      <c r="T176" s="168"/>
    </row>
    <row r="177" spans="1:22" ht="15" customHeight="1">
      <c r="A177" s="387"/>
      <c r="B177" s="185" t="s">
        <v>377</v>
      </c>
      <c r="C177" s="185"/>
      <c r="D177" s="185"/>
      <c r="E177" s="185"/>
      <c r="F177" s="234"/>
      <c r="G177" s="234"/>
      <c r="H177" s="203">
        <v>31</v>
      </c>
      <c r="I177" s="414" t="s">
        <v>1</v>
      </c>
      <c r="J177" s="186">
        <v>1.2</v>
      </c>
      <c r="K177" s="414" t="s">
        <v>1</v>
      </c>
      <c r="L177" s="186">
        <v>1.5</v>
      </c>
      <c r="M177" s="190" t="s">
        <v>0</v>
      </c>
      <c r="N177" s="213">
        <f t="shared" si="13"/>
        <v>55.8</v>
      </c>
      <c r="O177" s="265" t="s">
        <v>420</v>
      </c>
      <c r="P177" s="184"/>
      <c r="Q177" s="197"/>
      <c r="R177" s="268"/>
      <c r="T177" s="168"/>
    </row>
    <row r="178" spans="1:22" ht="15" customHeight="1">
      <c r="A178" s="387"/>
      <c r="B178" s="185" t="s">
        <v>379</v>
      </c>
      <c r="C178" s="185"/>
      <c r="D178" s="185"/>
      <c r="E178" s="185"/>
      <c r="F178" s="185"/>
      <c r="G178" s="185"/>
      <c r="H178" s="203">
        <f>H177</f>
        <v>31</v>
      </c>
      <c r="I178" s="414" t="s">
        <v>1</v>
      </c>
      <c r="J178" s="186">
        <v>0.3</v>
      </c>
      <c r="K178" s="414" t="s">
        <v>1</v>
      </c>
      <c r="L178" s="186">
        <v>1.2</v>
      </c>
      <c r="M178" s="232" t="s">
        <v>0</v>
      </c>
      <c r="N178" s="189">
        <f>L178*J178*H178</f>
        <v>11.16</v>
      </c>
      <c r="O178" s="283" t="s">
        <v>420</v>
      </c>
      <c r="P178" s="184"/>
      <c r="Q178" s="197"/>
      <c r="R178" s="268"/>
      <c r="T178" s="168"/>
    </row>
    <row r="179" spans="1:22" ht="15" customHeight="1">
      <c r="A179" s="387"/>
      <c r="B179" s="185"/>
      <c r="C179" s="185"/>
      <c r="D179" s="185"/>
      <c r="E179" s="185"/>
      <c r="F179" s="185"/>
      <c r="G179" s="185"/>
      <c r="H179" s="185"/>
      <c r="I179" s="185"/>
      <c r="J179" s="185"/>
      <c r="K179" s="996" t="s">
        <v>8</v>
      </c>
      <c r="L179" s="996"/>
      <c r="M179" s="190" t="s">
        <v>0</v>
      </c>
      <c r="N179" s="204">
        <f>SUM(N175:N178)</f>
        <v>397.83000000000004</v>
      </c>
      <c r="O179" s="244" t="s">
        <v>423</v>
      </c>
      <c r="P179" s="184"/>
      <c r="Q179" s="197"/>
      <c r="R179" s="268"/>
      <c r="T179" s="168"/>
    </row>
    <row r="180" spans="1:22" ht="17.25">
      <c r="A180" s="198"/>
      <c r="B180" s="211"/>
      <c r="C180" s="211"/>
      <c r="D180" s="211"/>
      <c r="E180" s="211"/>
      <c r="F180" s="211"/>
      <c r="G180" s="211"/>
      <c r="H180" s="211"/>
      <c r="I180" s="190"/>
      <c r="J180" s="236"/>
      <c r="K180" s="414"/>
      <c r="L180" s="233" t="s">
        <v>8</v>
      </c>
      <c r="M180" s="404" t="s">
        <v>0</v>
      </c>
      <c r="N180" s="199">
        <f>N179</f>
        <v>397.83000000000004</v>
      </c>
      <c r="O180" s="265" t="s">
        <v>420</v>
      </c>
      <c r="P180" s="200"/>
      <c r="Q180" s="185"/>
      <c r="R180" s="244"/>
    </row>
    <row r="181" spans="1:22" ht="17.25">
      <c r="A181" s="385"/>
      <c r="B181" s="185"/>
      <c r="C181" s="185"/>
      <c r="D181" s="185"/>
      <c r="E181" s="182"/>
      <c r="F181" s="182"/>
      <c r="G181" s="182"/>
      <c r="H181" s="182"/>
      <c r="I181" s="182"/>
      <c r="J181" s="193" t="s">
        <v>350</v>
      </c>
      <c r="K181" s="407" t="s">
        <v>11</v>
      </c>
      <c r="L181" s="989">
        <v>817</v>
      </c>
      <c r="M181" s="989"/>
      <c r="N181" s="418" t="s">
        <v>421</v>
      </c>
      <c r="O181" s="294"/>
      <c r="P181" s="190" t="s">
        <v>0</v>
      </c>
      <c r="Q181" s="205" t="s">
        <v>11</v>
      </c>
      <c r="R181" s="269">
        <f>L181*N180</f>
        <v>325027.11000000004</v>
      </c>
    </row>
    <row r="182" spans="1:22">
      <c r="A182" s="385"/>
      <c r="B182" s="185"/>
      <c r="C182" s="185"/>
      <c r="D182" s="185"/>
      <c r="E182" s="182"/>
      <c r="F182" s="182"/>
      <c r="G182" s="182"/>
      <c r="H182" s="182"/>
      <c r="I182" s="182"/>
      <c r="J182" s="193"/>
      <c r="K182" s="407"/>
      <c r="L182" s="407"/>
      <c r="M182" s="407"/>
      <c r="N182" s="418"/>
      <c r="O182" s="294"/>
      <c r="P182" s="190"/>
      <c r="Q182" s="205"/>
      <c r="R182" s="269"/>
    </row>
    <row r="183" spans="1:22" ht="36" customHeight="1">
      <c r="A183" s="412" t="s">
        <v>472</v>
      </c>
      <c r="B183" s="999" t="s">
        <v>363</v>
      </c>
      <c r="C183" s="999"/>
      <c r="D183" s="999"/>
      <c r="E183" s="999"/>
      <c r="F183" s="999"/>
      <c r="G183" s="999"/>
      <c r="H183" s="999"/>
      <c r="I183" s="999"/>
      <c r="J183" s="999"/>
      <c r="K183" s="999"/>
      <c r="L183" s="999"/>
      <c r="M183" s="999"/>
      <c r="N183" s="999"/>
      <c r="O183" s="999"/>
      <c r="P183" s="190"/>
      <c r="Q183" s="205"/>
      <c r="R183" s="269"/>
    </row>
    <row r="184" spans="1:22" ht="33.75" customHeight="1">
      <c r="A184" s="385"/>
      <c r="B184" s="1008" t="s">
        <v>477</v>
      </c>
      <c r="C184" s="1008"/>
      <c r="D184" s="1008"/>
      <c r="E184" s="1008"/>
      <c r="F184" s="1008" t="s">
        <v>424</v>
      </c>
      <c r="G184" s="1008"/>
      <c r="H184" s="1008"/>
      <c r="I184" s="190"/>
      <c r="J184" s="236">
        <v>2</v>
      </c>
      <c r="K184" s="414" t="s">
        <v>1</v>
      </c>
      <c r="L184" s="253">
        <f>N180</f>
        <v>397.83000000000004</v>
      </c>
      <c r="M184" s="190" t="s">
        <v>0</v>
      </c>
      <c r="N184" s="199">
        <f>L184*J184</f>
        <v>795.66000000000008</v>
      </c>
      <c r="O184" s="234" t="s">
        <v>420</v>
      </c>
      <c r="P184" s="200"/>
      <c r="Q184" s="185"/>
      <c r="R184" s="244"/>
    </row>
    <row r="185" spans="1:22" ht="21.75" customHeight="1">
      <c r="A185" s="385"/>
      <c r="B185" s="410"/>
      <c r="C185" s="410"/>
      <c r="D185" s="410"/>
      <c r="E185" s="410"/>
      <c r="F185" s="410"/>
      <c r="G185" s="410"/>
      <c r="H185" s="410"/>
      <c r="I185" s="190"/>
      <c r="J185" s="203">
        <v>1</v>
      </c>
      <c r="K185" s="414" t="s">
        <v>1</v>
      </c>
      <c r="L185" s="425">
        <f>J224</f>
        <v>212.47999999999996</v>
      </c>
      <c r="M185" s="190" t="s">
        <v>0</v>
      </c>
      <c r="N185" s="199">
        <f>L185*J185</f>
        <v>212.47999999999996</v>
      </c>
      <c r="O185" s="234" t="s">
        <v>420</v>
      </c>
      <c r="P185" s="200"/>
      <c r="Q185" s="185"/>
      <c r="R185" s="244"/>
    </row>
    <row r="186" spans="1:22" ht="18.75" customHeight="1">
      <c r="A186" s="385"/>
      <c r="B186" s="211" t="s">
        <v>380</v>
      </c>
      <c r="C186" s="211"/>
      <c r="D186" s="211"/>
      <c r="E186" s="211"/>
      <c r="F186" s="211"/>
      <c r="G186" s="211"/>
      <c r="H186" s="211"/>
      <c r="I186" s="190"/>
      <c r="J186" s="236">
        <f>H178</f>
        <v>31</v>
      </c>
      <c r="K186" s="414" t="s">
        <v>1</v>
      </c>
      <c r="L186" s="233">
        <v>1.35</v>
      </c>
      <c r="M186" s="188" t="s">
        <v>0</v>
      </c>
      <c r="N186" s="189">
        <f>L186*J186</f>
        <v>41.85</v>
      </c>
      <c r="O186" s="283" t="s">
        <v>420</v>
      </c>
      <c r="P186" s="200"/>
      <c r="Q186" s="185"/>
      <c r="R186" s="244"/>
    </row>
    <row r="187" spans="1:22" ht="18" customHeight="1">
      <c r="A187" s="385"/>
      <c r="B187" s="211"/>
      <c r="C187" s="211"/>
      <c r="D187" s="211"/>
      <c r="E187" s="211"/>
      <c r="F187" s="211"/>
      <c r="G187" s="211"/>
      <c r="H187" s="211"/>
      <c r="I187" s="190"/>
      <c r="J187" s="236"/>
      <c r="K187" s="414"/>
      <c r="L187" s="233" t="s">
        <v>8</v>
      </c>
      <c r="M187" s="404" t="s">
        <v>0</v>
      </c>
      <c r="N187" s="213">
        <f>SUM(N184:N186)</f>
        <v>1049.99</v>
      </c>
      <c r="O187" s="265" t="s">
        <v>420</v>
      </c>
      <c r="P187" s="200"/>
      <c r="Q187" s="185"/>
      <c r="R187" s="244"/>
    </row>
    <row r="188" spans="1:22" ht="19.5" customHeight="1">
      <c r="A188" s="198"/>
      <c r="B188" s="185"/>
      <c r="C188" s="185"/>
      <c r="D188" s="185"/>
      <c r="E188" s="182"/>
      <c r="F188" s="182"/>
      <c r="G188" s="182"/>
      <c r="H188" s="182"/>
      <c r="I188" s="182"/>
      <c r="J188" s="193" t="s">
        <v>350</v>
      </c>
      <c r="K188" s="407" t="s">
        <v>11</v>
      </c>
      <c r="L188" s="989">
        <v>213</v>
      </c>
      <c r="M188" s="989"/>
      <c r="N188" s="418" t="s">
        <v>421</v>
      </c>
      <c r="O188" s="294"/>
      <c r="P188" s="190" t="s">
        <v>0</v>
      </c>
      <c r="Q188" s="205" t="s">
        <v>11</v>
      </c>
      <c r="R188" s="269">
        <f>L188*N187</f>
        <v>223647.87</v>
      </c>
    </row>
    <row r="189" spans="1:22" ht="19.5" customHeight="1">
      <c r="A189" s="198"/>
      <c r="B189" s="185"/>
      <c r="C189" s="185"/>
      <c r="D189" s="185"/>
      <c r="E189" s="182"/>
      <c r="F189" s="182"/>
      <c r="G189" s="182"/>
      <c r="H189" s="182"/>
      <c r="I189" s="182"/>
      <c r="J189" s="193"/>
      <c r="K189" s="407"/>
      <c r="L189" s="407"/>
      <c r="M189" s="407"/>
      <c r="N189" s="418"/>
      <c r="O189" s="294"/>
      <c r="P189" s="190"/>
      <c r="Q189" s="205"/>
      <c r="R189" s="269"/>
    </row>
    <row r="190" spans="1:22" ht="50.25" customHeight="1">
      <c r="A190" s="412" t="s">
        <v>473</v>
      </c>
      <c r="B190" s="999" t="s">
        <v>364</v>
      </c>
      <c r="C190" s="999"/>
      <c r="D190" s="999"/>
      <c r="E190" s="999"/>
      <c r="F190" s="999"/>
      <c r="G190" s="999"/>
      <c r="H190" s="999"/>
      <c r="I190" s="999"/>
      <c r="J190" s="999"/>
      <c r="K190" s="999"/>
      <c r="L190" s="999"/>
      <c r="M190" s="999"/>
      <c r="N190" s="999"/>
      <c r="O190" s="999"/>
      <c r="P190" s="192"/>
      <c r="Q190" s="205"/>
      <c r="R190" s="269"/>
    </row>
    <row r="191" spans="1:22" ht="18" customHeight="1">
      <c r="A191" s="279"/>
      <c r="B191" s="1005" t="s">
        <v>365</v>
      </c>
      <c r="C191" s="1005"/>
      <c r="D191" s="1005"/>
      <c r="E191" s="1005"/>
      <c r="F191" s="1005"/>
      <c r="G191" s="205"/>
      <c r="H191" s="192"/>
      <c r="I191" s="238"/>
      <c r="J191" s="239"/>
      <c r="K191" s="237"/>
      <c r="L191" s="191"/>
      <c r="M191" s="191"/>
      <c r="N191" s="240"/>
      <c r="O191" s="294"/>
      <c r="P191" s="190"/>
      <c r="Q191" s="205"/>
      <c r="R191" s="269"/>
      <c r="U191" s="180"/>
      <c r="V191" s="178"/>
    </row>
    <row r="192" spans="1:22" ht="15" customHeight="1">
      <c r="A192" s="388"/>
      <c r="B192" s="1004" t="s">
        <v>366</v>
      </c>
      <c r="C192" s="1004"/>
      <c r="D192" s="1004"/>
      <c r="E192" s="1004"/>
      <c r="F192" s="1004"/>
      <c r="G192" s="241"/>
      <c r="H192" s="241"/>
      <c r="I192" s="241"/>
      <c r="J192" s="241"/>
      <c r="K192" s="241"/>
      <c r="L192" s="241"/>
      <c r="M192" s="241"/>
      <c r="N192" s="241"/>
      <c r="O192" s="409"/>
      <c r="P192" s="190"/>
      <c r="Q192" s="205"/>
      <c r="R192" s="269"/>
    </row>
    <row r="193" spans="1:22" ht="18.75" customHeight="1">
      <c r="A193" s="279"/>
      <c r="B193" s="192" t="s">
        <v>382</v>
      </c>
      <c r="C193" s="192"/>
      <c r="D193" s="231"/>
      <c r="E193" s="414"/>
      <c r="F193" s="203">
        <f>H176</f>
        <v>10</v>
      </c>
      <c r="G193" s="414" t="s">
        <v>1</v>
      </c>
      <c r="H193" s="186">
        <v>4.95</v>
      </c>
      <c r="I193" s="414" t="s">
        <v>1</v>
      </c>
      <c r="J193" s="186">
        <v>0.15</v>
      </c>
      <c r="K193" s="414" t="s">
        <v>1</v>
      </c>
      <c r="L193" s="186">
        <v>0.15</v>
      </c>
      <c r="M193" s="188" t="s">
        <v>0</v>
      </c>
      <c r="N193" s="189">
        <f>ROUND(F193*H193*J193*L193,2)</f>
        <v>1.1100000000000001</v>
      </c>
      <c r="O193" s="278" t="s">
        <v>418</v>
      </c>
      <c r="P193" s="190"/>
      <c r="Q193" s="205"/>
      <c r="R193" s="269"/>
      <c r="V193" s="168"/>
    </row>
    <row r="194" spans="1:22" ht="15" customHeight="1">
      <c r="A194" s="279"/>
      <c r="B194" s="192"/>
      <c r="C194" s="192"/>
      <c r="D194" s="192"/>
      <c r="E194" s="192"/>
      <c r="F194" s="237"/>
      <c r="G194" s="205"/>
      <c r="H194" s="192"/>
      <c r="I194" s="238"/>
      <c r="J194" s="239"/>
      <c r="K194" s="996" t="s">
        <v>8</v>
      </c>
      <c r="L194" s="996"/>
      <c r="M194" s="190" t="s">
        <v>0</v>
      </c>
      <c r="N194" s="204">
        <f>SUM(N193:N193)</f>
        <v>1.1100000000000001</v>
      </c>
      <c r="O194" s="294" t="s">
        <v>418</v>
      </c>
      <c r="P194" s="190"/>
      <c r="Q194" s="205"/>
      <c r="R194" s="269"/>
    </row>
    <row r="195" spans="1:22" ht="15.75" customHeight="1">
      <c r="A195" s="198"/>
      <c r="B195" s="182"/>
      <c r="C195" s="182"/>
      <c r="D195" s="182"/>
      <c r="E195" s="182"/>
      <c r="F195" s="182"/>
      <c r="G195" s="182"/>
      <c r="H195" s="182"/>
      <c r="I195" s="182"/>
      <c r="J195" s="193" t="s">
        <v>350</v>
      </c>
      <c r="K195" s="407" t="s">
        <v>11</v>
      </c>
      <c r="L195" s="1006">
        <v>70458</v>
      </c>
      <c r="M195" s="1006"/>
      <c r="N195" s="418" t="s">
        <v>419</v>
      </c>
      <c r="O195" s="294"/>
      <c r="P195" s="184" t="s">
        <v>0</v>
      </c>
      <c r="Q195" s="197" t="s">
        <v>11</v>
      </c>
      <c r="R195" s="268">
        <f>ROUND(N194*L195,0)</f>
        <v>78208</v>
      </c>
    </row>
    <row r="196" spans="1:22" ht="15.75" customHeight="1">
      <c r="A196" s="198"/>
      <c r="B196" s="182"/>
      <c r="C196" s="182"/>
      <c r="D196" s="182"/>
      <c r="E196" s="182"/>
      <c r="F196" s="182"/>
      <c r="G196" s="182"/>
      <c r="H196" s="182"/>
      <c r="I196" s="182"/>
      <c r="J196" s="193"/>
      <c r="K196" s="407"/>
      <c r="L196" s="408"/>
      <c r="M196" s="408"/>
      <c r="N196" s="418"/>
      <c r="O196" s="294"/>
      <c r="P196" s="184"/>
      <c r="Q196" s="197"/>
      <c r="R196" s="268"/>
    </row>
    <row r="197" spans="1:22" ht="15.75" customHeight="1">
      <c r="A197" s="198"/>
      <c r="B197" s="182"/>
      <c r="C197" s="182"/>
      <c r="D197" s="182"/>
      <c r="E197" s="182"/>
      <c r="F197" s="182"/>
      <c r="G197" s="182"/>
      <c r="H197" s="182"/>
      <c r="I197" s="182"/>
      <c r="J197" s="193"/>
      <c r="K197" s="407"/>
      <c r="L197" s="408"/>
      <c r="M197" s="408"/>
      <c r="N197" s="418"/>
      <c r="O197" s="294"/>
      <c r="P197" s="184"/>
      <c r="Q197" s="197"/>
      <c r="R197" s="268"/>
    </row>
    <row r="198" spans="1:22" ht="15.75" customHeight="1">
      <c r="A198" s="198"/>
      <c r="B198" s="182"/>
      <c r="C198" s="182"/>
      <c r="D198" s="182"/>
      <c r="E198" s="182"/>
      <c r="F198" s="182"/>
      <c r="G198" s="182"/>
      <c r="H198" s="182"/>
      <c r="I198" s="182"/>
      <c r="J198" s="193"/>
      <c r="K198" s="407"/>
      <c r="L198" s="408"/>
      <c r="M198" s="408"/>
      <c r="N198" s="418"/>
      <c r="O198" s="281" t="s">
        <v>24</v>
      </c>
      <c r="P198" s="251" t="s">
        <v>0</v>
      </c>
      <c r="Q198" s="252" t="s">
        <v>11</v>
      </c>
      <c r="R198" s="273">
        <f>SUM(R165:R197)</f>
        <v>2795324.98</v>
      </c>
    </row>
    <row r="199" spans="1:22" ht="15.75" customHeight="1">
      <c r="A199" s="198"/>
      <c r="B199" s="182"/>
      <c r="C199" s="182"/>
      <c r="D199" s="182"/>
      <c r="E199" s="182"/>
      <c r="F199" s="182"/>
      <c r="G199" s="182"/>
      <c r="H199" s="182"/>
      <c r="I199" s="182"/>
      <c r="J199" s="193"/>
      <c r="K199" s="407"/>
      <c r="L199" s="408"/>
      <c r="M199" s="408"/>
      <c r="N199" s="418"/>
      <c r="O199" s="281" t="s">
        <v>25</v>
      </c>
      <c r="P199" s="251" t="s">
        <v>0</v>
      </c>
      <c r="Q199" s="252" t="s">
        <v>11</v>
      </c>
      <c r="R199" s="273">
        <f>R198</f>
        <v>2795324.98</v>
      </c>
    </row>
    <row r="200" spans="1:22" ht="15.75" customHeight="1">
      <c r="A200" s="198"/>
      <c r="B200" s="182"/>
      <c r="C200" s="182"/>
      <c r="D200" s="182"/>
      <c r="E200" s="182"/>
      <c r="F200" s="182"/>
      <c r="G200" s="182"/>
      <c r="H200" s="182"/>
      <c r="I200" s="182"/>
      <c r="J200" s="193"/>
      <c r="K200" s="407"/>
      <c r="L200" s="408"/>
      <c r="M200" s="408"/>
      <c r="N200" s="418"/>
      <c r="O200" s="281"/>
      <c r="P200" s="251"/>
      <c r="Q200" s="252"/>
      <c r="R200" s="273"/>
    </row>
    <row r="201" spans="1:22" ht="46.5" customHeight="1">
      <c r="A201" s="412" t="s">
        <v>474</v>
      </c>
      <c r="B201" s="999" t="s">
        <v>367</v>
      </c>
      <c r="C201" s="999"/>
      <c r="D201" s="999"/>
      <c r="E201" s="999"/>
      <c r="F201" s="999"/>
      <c r="G201" s="999"/>
      <c r="H201" s="999"/>
      <c r="I201" s="999"/>
      <c r="J201" s="999"/>
      <c r="K201" s="999"/>
      <c r="L201" s="999"/>
      <c r="M201" s="999"/>
      <c r="N201" s="999"/>
      <c r="O201" s="999"/>
      <c r="P201" s="192"/>
      <c r="Q201" s="205"/>
      <c r="R201" s="269"/>
    </row>
    <row r="202" spans="1:22" ht="15.75" customHeight="1">
      <c r="A202" s="387"/>
      <c r="B202" s="993" t="s">
        <v>371</v>
      </c>
      <c r="C202" s="993"/>
      <c r="D202" s="993"/>
      <c r="E202" s="993"/>
      <c r="F202" s="993"/>
      <c r="G202" s="993"/>
      <c r="H202" s="993"/>
      <c r="I202" s="993"/>
      <c r="J202" s="993"/>
      <c r="K202" s="993"/>
      <c r="L202" s="993"/>
      <c r="M202" s="403"/>
      <c r="N202" s="403"/>
      <c r="O202" s="410"/>
      <c r="P202" s="192"/>
      <c r="Q202" s="205"/>
      <c r="R202" s="269"/>
      <c r="U202" s="181"/>
    </row>
    <row r="203" spans="1:22" ht="15.75" customHeight="1">
      <c r="A203" s="279"/>
      <c r="B203" s="1004" t="s">
        <v>382</v>
      </c>
      <c r="C203" s="1004"/>
      <c r="D203" s="1004"/>
      <c r="E203" s="1004"/>
      <c r="F203" s="242"/>
      <c r="G203" s="243"/>
      <c r="H203" s="203">
        <f>F193</f>
        <v>10</v>
      </c>
      <c r="I203" s="414" t="s">
        <v>1</v>
      </c>
      <c r="J203" s="186">
        <v>2.1</v>
      </c>
      <c r="K203" s="414" t="s">
        <v>1</v>
      </c>
      <c r="L203" s="186">
        <v>1.5</v>
      </c>
      <c r="M203" s="188" t="s">
        <v>0</v>
      </c>
      <c r="N203" s="189">
        <f t="shared" ref="N203" si="14">L203*J203*H203</f>
        <v>31.500000000000004</v>
      </c>
      <c r="O203" s="265" t="s">
        <v>420</v>
      </c>
      <c r="P203" s="192"/>
      <c r="Q203" s="205"/>
      <c r="R203" s="269"/>
    </row>
    <row r="204" spans="1:22" ht="15.75" customHeight="1">
      <c r="A204" s="279"/>
      <c r="B204" s="192"/>
      <c r="C204" s="192"/>
      <c r="D204" s="192"/>
      <c r="E204" s="192"/>
      <c r="F204" s="242"/>
      <c r="G204" s="243"/>
      <c r="H204" s="203"/>
      <c r="I204" s="414"/>
      <c r="J204" s="186"/>
      <c r="K204" s="414"/>
      <c r="L204" s="186" t="s">
        <v>8</v>
      </c>
      <c r="M204" s="404" t="s">
        <v>0</v>
      </c>
      <c r="N204" s="213">
        <f>SUM(N203:N203)</f>
        <v>31.500000000000004</v>
      </c>
      <c r="O204" s="265" t="s">
        <v>420</v>
      </c>
      <c r="P204" s="192"/>
      <c r="Q204" s="205"/>
      <c r="R204" s="269"/>
    </row>
    <row r="205" spans="1:22" ht="15.75" customHeight="1">
      <c r="A205" s="198"/>
      <c r="B205" s="182"/>
      <c r="C205" s="182"/>
      <c r="D205" s="182"/>
      <c r="E205" s="182"/>
      <c r="F205" s="182"/>
      <c r="G205" s="182"/>
      <c r="H205" s="182"/>
      <c r="I205" s="182"/>
      <c r="J205" s="193" t="s">
        <v>350</v>
      </c>
      <c r="K205" s="407" t="s">
        <v>11</v>
      </c>
      <c r="L205" s="989">
        <v>5131</v>
      </c>
      <c r="M205" s="989"/>
      <c r="N205" s="418" t="s">
        <v>421</v>
      </c>
      <c r="O205" s="294"/>
      <c r="P205" s="184" t="s">
        <v>0</v>
      </c>
      <c r="Q205" s="197" t="s">
        <v>11</v>
      </c>
      <c r="R205" s="268">
        <f>L205*N204</f>
        <v>161626.50000000003</v>
      </c>
    </row>
    <row r="206" spans="1:22" ht="15.75" customHeight="1">
      <c r="A206" s="198"/>
      <c r="B206" s="182"/>
      <c r="C206" s="182"/>
      <c r="D206" s="182"/>
      <c r="E206" s="182"/>
      <c r="F206" s="182"/>
      <c r="G206" s="182"/>
      <c r="H206" s="182"/>
      <c r="I206" s="182"/>
      <c r="J206" s="193"/>
      <c r="K206" s="407"/>
      <c r="L206" s="407"/>
      <c r="M206" s="407"/>
      <c r="N206" s="418"/>
      <c r="O206" s="294"/>
      <c r="P206" s="184"/>
      <c r="Q206" s="197"/>
      <c r="R206" s="268"/>
    </row>
    <row r="207" spans="1:22" ht="15.75" customHeight="1">
      <c r="A207" s="198"/>
      <c r="B207" s="182"/>
      <c r="C207" s="182"/>
      <c r="D207" s="182"/>
      <c r="E207" s="182"/>
      <c r="F207" s="182"/>
      <c r="G207" s="182"/>
      <c r="H207" s="182"/>
      <c r="I207" s="182"/>
      <c r="J207" s="193"/>
      <c r="K207" s="407"/>
      <c r="L207" s="407"/>
      <c r="M207" s="407"/>
      <c r="N207" s="418"/>
      <c r="O207" s="294"/>
      <c r="P207" s="184"/>
      <c r="Q207" s="197"/>
      <c r="R207" s="268"/>
    </row>
    <row r="208" spans="1:22" ht="83.25" customHeight="1">
      <c r="A208" s="412" t="s">
        <v>475</v>
      </c>
      <c r="B208" s="999" t="s">
        <v>413</v>
      </c>
      <c r="C208" s="999"/>
      <c r="D208" s="999"/>
      <c r="E208" s="999"/>
      <c r="F208" s="999"/>
      <c r="G208" s="999"/>
      <c r="H208" s="999"/>
      <c r="I208" s="999"/>
      <c r="J208" s="999"/>
      <c r="K208" s="999"/>
      <c r="L208" s="999"/>
      <c r="M208" s="999"/>
      <c r="N208" s="999"/>
      <c r="O208" s="999"/>
      <c r="P208" s="192"/>
      <c r="Q208" s="205"/>
      <c r="R208" s="269"/>
    </row>
    <row r="209" spans="1:29" ht="15.75" customHeight="1">
      <c r="A209" s="387"/>
      <c r="B209" s="993" t="s">
        <v>372</v>
      </c>
      <c r="C209" s="993"/>
      <c r="D209" s="993"/>
      <c r="E209" s="993"/>
      <c r="F209" s="302"/>
      <c r="G209" s="302"/>
      <c r="H209" s="302"/>
      <c r="I209" s="403"/>
      <c r="J209" s="403"/>
      <c r="K209" s="403"/>
      <c r="L209" s="403"/>
      <c r="M209" s="403"/>
      <c r="N209" s="403"/>
      <c r="O209" s="410"/>
      <c r="P209" s="192"/>
      <c r="Q209" s="205"/>
      <c r="R209" s="269"/>
    </row>
    <row r="210" spans="1:29" ht="15.75" customHeight="1">
      <c r="A210" s="385"/>
      <c r="B210" s="1001" t="s">
        <v>478</v>
      </c>
      <c r="C210" s="1001"/>
      <c r="D210" s="1001"/>
      <c r="E210" s="1001"/>
      <c r="F210" s="1001"/>
      <c r="G210" s="1001"/>
      <c r="H210" s="203">
        <f>H177</f>
        <v>31</v>
      </c>
      <c r="I210" s="414" t="s">
        <v>1</v>
      </c>
      <c r="J210" s="186">
        <v>1.2</v>
      </c>
      <c r="K210" s="414" t="s">
        <v>1</v>
      </c>
      <c r="L210" s="186">
        <v>1.5</v>
      </c>
      <c r="M210" s="188" t="s">
        <v>0</v>
      </c>
      <c r="N210" s="189">
        <f>L210*J210*H210</f>
        <v>55.8</v>
      </c>
      <c r="O210" s="283" t="s">
        <v>420</v>
      </c>
      <c r="P210" s="185"/>
      <c r="Q210" s="185"/>
      <c r="R210" s="244"/>
    </row>
    <row r="211" spans="1:29" ht="15.75" customHeight="1">
      <c r="A211" s="385"/>
      <c r="B211" s="1001"/>
      <c r="C211" s="1001"/>
      <c r="D211" s="1001"/>
      <c r="E211" s="1001"/>
      <c r="F211" s="1001"/>
      <c r="G211" s="1001"/>
      <c r="H211" s="185"/>
      <c r="I211" s="185"/>
      <c r="J211" s="185"/>
      <c r="K211" s="996" t="s">
        <v>8</v>
      </c>
      <c r="L211" s="996"/>
      <c r="M211" s="190" t="s">
        <v>0</v>
      </c>
      <c r="N211" s="204">
        <f>SUM(N210:N210)</f>
        <v>55.8</v>
      </c>
      <c r="O211" s="244" t="s">
        <v>420</v>
      </c>
      <c r="P211" s="185"/>
      <c r="Q211" s="185"/>
      <c r="R211" s="244"/>
      <c r="AC211" s="397"/>
    </row>
    <row r="212" spans="1:29" ht="15.75" customHeight="1">
      <c r="A212" s="198"/>
      <c r="B212" s="1001"/>
      <c r="C212" s="1001"/>
      <c r="D212" s="1001"/>
      <c r="E212" s="1001"/>
      <c r="F212" s="1001"/>
      <c r="G212" s="1001"/>
      <c r="H212" s="182"/>
      <c r="I212" s="182"/>
      <c r="J212" s="193" t="s">
        <v>350</v>
      </c>
      <c r="K212" s="407" t="s">
        <v>11</v>
      </c>
      <c r="L212" s="989">
        <v>3457</v>
      </c>
      <c r="M212" s="989"/>
      <c r="N212" s="418" t="s">
        <v>421</v>
      </c>
      <c r="O212" s="294"/>
      <c r="P212" s="190" t="s">
        <v>0</v>
      </c>
      <c r="Q212" s="205" t="s">
        <v>11</v>
      </c>
      <c r="R212" s="269">
        <f>ROUND(N211*L212,0)</f>
        <v>192901</v>
      </c>
    </row>
    <row r="213" spans="1:29" ht="15.75" customHeight="1">
      <c r="A213" s="198"/>
      <c r="B213" s="417"/>
      <c r="C213" s="417"/>
      <c r="D213" s="417"/>
      <c r="E213" s="417"/>
      <c r="F213" s="417"/>
      <c r="G213" s="417"/>
      <c r="H213" s="182"/>
      <c r="I213" s="182"/>
      <c r="J213" s="193"/>
      <c r="K213" s="407"/>
      <c r="L213" s="407"/>
      <c r="M213" s="407"/>
      <c r="N213" s="418"/>
      <c r="O213" s="294"/>
      <c r="P213" s="190"/>
      <c r="Q213" s="205"/>
      <c r="R213" s="269"/>
    </row>
    <row r="214" spans="1:29" ht="15.75" customHeight="1">
      <c r="A214" s="198"/>
      <c r="B214" s="417"/>
      <c r="C214" s="417"/>
      <c r="D214" s="417"/>
      <c r="E214" s="417"/>
      <c r="F214" s="417"/>
      <c r="G214" s="417"/>
      <c r="H214" s="182"/>
      <c r="I214" s="182"/>
      <c r="J214" s="193"/>
      <c r="K214" s="407"/>
      <c r="L214" s="407"/>
      <c r="M214" s="407"/>
      <c r="N214" s="418"/>
      <c r="O214" s="294"/>
      <c r="P214" s="190"/>
      <c r="Q214" s="205"/>
      <c r="R214" s="269"/>
    </row>
    <row r="215" spans="1:29" ht="15" customHeight="1">
      <c r="A215" s="997" t="s">
        <v>476</v>
      </c>
      <c r="B215" s="1002" t="s">
        <v>414</v>
      </c>
      <c r="C215" s="1002"/>
      <c r="D215" s="1002"/>
      <c r="E215" s="1002"/>
      <c r="F215" s="1002"/>
      <c r="G215" s="1002"/>
      <c r="H215" s="1002"/>
      <c r="I215" s="1002"/>
      <c r="J215" s="1002"/>
      <c r="K215" s="1002"/>
      <c r="L215" s="1002"/>
      <c r="M215" s="1002"/>
      <c r="N215" s="1002"/>
      <c r="O215" s="279"/>
      <c r="P215" s="207"/>
      <c r="Q215" s="208"/>
      <c r="R215" s="274"/>
    </row>
    <row r="216" spans="1:29" ht="36.75" customHeight="1">
      <c r="A216" s="997"/>
      <c r="B216" s="1002"/>
      <c r="C216" s="1002"/>
      <c r="D216" s="1002"/>
      <c r="E216" s="1002"/>
      <c r="F216" s="1002"/>
      <c r="G216" s="1002"/>
      <c r="H216" s="1002"/>
      <c r="I216" s="1002"/>
      <c r="J216" s="1002"/>
      <c r="K216" s="1002"/>
      <c r="L216" s="1002"/>
      <c r="M216" s="1002"/>
      <c r="N216" s="1002"/>
      <c r="O216" s="279"/>
      <c r="P216" s="207"/>
      <c r="Q216" s="208"/>
      <c r="R216" s="274"/>
    </row>
    <row r="217" spans="1:29" ht="15" customHeight="1">
      <c r="A217" s="198"/>
      <c r="B217" s="1003" t="s">
        <v>372</v>
      </c>
      <c r="C217" s="1003"/>
      <c r="D217" s="1003"/>
      <c r="E217" s="1003"/>
      <c r="F217" s="383"/>
      <c r="G217" s="383"/>
      <c r="H217" s="383"/>
      <c r="I217" s="403"/>
      <c r="J217" s="403"/>
      <c r="K217" s="403"/>
      <c r="L217" s="403"/>
      <c r="M217" s="403"/>
      <c r="N217" s="403"/>
      <c r="O217" s="410"/>
      <c r="P217" s="207"/>
      <c r="Q217" s="208"/>
      <c r="R217" s="274"/>
    </row>
    <row r="218" spans="1:29" ht="15" customHeight="1">
      <c r="A218" s="198"/>
      <c r="B218" s="211" t="s">
        <v>383</v>
      </c>
      <c r="C218" s="185"/>
      <c r="D218" s="185"/>
      <c r="E218" s="185"/>
      <c r="F218" s="244"/>
      <c r="G218" s="185"/>
      <c r="H218" s="203">
        <f>H210</f>
        <v>31</v>
      </c>
      <c r="I218" s="414" t="s">
        <v>1</v>
      </c>
      <c r="J218" s="186">
        <v>1.2</v>
      </c>
      <c r="K218" s="414" t="s">
        <v>1</v>
      </c>
      <c r="L218" s="186">
        <v>1.5</v>
      </c>
      <c r="M218" s="188" t="s">
        <v>0</v>
      </c>
      <c r="N218" s="189">
        <f>L218*J218*H218</f>
        <v>55.8</v>
      </c>
      <c r="O218" s="283" t="s">
        <v>420</v>
      </c>
      <c r="P218" s="207"/>
      <c r="Q218" s="208"/>
      <c r="R218" s="274"/>
    </row>
    <row r="219" spans="1:29" ht="15" customHeight="1">
      <c r="A219" s="198"/>
      <c r="B219" s="182"/>
      <c r="C219" s="182"/>
      <c r="D219" s="182"/>
      <c r="E219" s="182"/>
      <c r="F219" s="182"/>
      <c r="G219" s="182"/>
      <c r="H219" s="182"/>
      <c r="I219" s="182"/>
      <c r="J219" s="185"/>
      <c r="K219" s="996" t="s">
        <v>8</v>
      </c>
      <c r="L219" s="996"/>
      <c r="M219" s="190" t="s">
        <v>0</v>
      </c>
      <c r="N219" s="204">
        <f>SUM(N218)</f>
        <v>55.8</v>
      </c>
      <c r="O219" s="244" t="s">
        <v>420</v>
      </c>
      <c r="P219" s="185"/>
      <c r="Q219" s="185"/>
      <c r="R219" s="244"/>
    </row>
    <row r="220" spans="1:29" ht="15" customHeight="1">
      <c r="A220" s="198"/>
      <c r="B220" s="182"/>
      <c r="C220" s="182"/>
      <c r="D220" s="182"/>
      <c r="E220" s="182"/>
      <c r="F220" s="182"/>
      <c r="G220" s="182"/>
      <c r="H220" s="182"/>
      <c r="I220" s="182"/>
      <c r="J220" s="193" t="s">
        <v>350</v>
      </c>
      <c r="K220" s="407" t="s">
        <v>11</v>
      </c>
      <c r="L220" s="989">
        <v>1093</v>
      </c>
      <c r="M220" s="989"/>
      <c r="N220" s="418" t="s">
        <v>421</v>
      </c>
      <c r="O220" s="294"/>
      <c r="P220" s="190" t="s">
        <v>0</v>
      </c>
      <c r="Q220" s="205" t="s">
        <v>11</v>
      </c>
      <c r="R220" s="269">
        <f>ROUND(N219*L220,0)</f>
        <v>60989</v>
      </c>
    </row>
    <row r="221" spans="1:29" ht="15" customHeight="1">
      <c r="A221" s="198"/>
      <c r="B221" s="182"/>
      <c r="C221" s="182"/>
      <c r="D221" s="182"/>
      <c r="E221" s="182"/>
      <c r="F221" s="182"/>
      <c r="G221" s="182"/>
      <c r="H221" s="182"/>
      <c r="I221" s="182"/>
      <c r="J221" s="193"/>
      <c r="K221" s="407"/>
      <c r="L221" s="407"/>
      <c r="M221" s="407"/>
      <c r="N221" s="418"/>
      <c r="O221" s="294"/>
      <c r="P221" s="190"/>
      <c r="Q221" s="205"/>
      <c r="R221" s="269"/>
    </row>
    <row r="222" spans="1:29" ht="48.75" customHeight="1">
      <c r="A222" s="412" t="s">
        <v>486</v>
      </c>
      <c r="B222" s="999" t="s">
        <v>485</v>
      </c>
      <c r="C222" s="999"/>
      <c r="D222" s="999"/>
      <c r="E222" s="999"/>
      <c r="F222" s="999"/>
      <c r="G222" s="999"/>
      <c r="H222" s="999"/>
      <c r="I222" s="999"/>
      <c r="J222" s="999"/>
      <c r="K222" s="999"/>
      <c r="L222" s="999"/>
      <c r="M222" s="999"/>
      <c r="N222" s="999"/>
      <c r="O222" s="999"/>
      <c r="P222" s="192"/>
      <c r="Q222" s="205"/>
      <c r="R222" s="269"/>
    </row>
    <row r="223" spans="1:29" ht="18" customHeight="1">
      <c r="A223" s="385"/>
      <c r="B223" s="211"/>
      <c r="C223" s="185"/>
      <c r="D223" s="185"/>
      <c r="E223" s="185"/>
      <c r="F223" s="185"/>
      <c r="G223" s="185"/>
      <c r="H223" s="203">
        <v>2</v>
      </c>
      <c r="I223" s="414" t="s">
        <v>1</v>
      </c>
      <c r="J223" s="256">
        <f>N179</f>
        <v>397.83000000000004</v>
      </c>
      <c r="K223" s="414" t="s">
        <v>1</v>
      </c>
      <c r="L223" s="186">
        <f>L12</f>
        <v>3.3</v>
      </c>
      <c r="M223" s="190" t="s">
        <v>0</v>
      </c>
      <c r="N223" s="213">
        <f>L223*J223*H223</f>
        <v>2625.6780000000003</v>
      </c>
      <c r="O223" s="265" t="s">
        <v>420</v>
      </c>
      <c r="P223" s="185"/>
      <c r="Q223" s="185"/>
      <c r="R223" s="244"/>
    </row>
    <row r="224" spans="1:29" ht="18" customHeight="1">
      <c r="A224" s="385"/>
      <c r="B224" s="211"/>
      <c r="C224" s="185"/>
      <c r="D224" s="185"/>
      <c r="E224" s="185"/>
      <c r="F224" s="185"/>
      <c r="G224" s="185"/>
      <c r="H224" s="203">
        <v>2</v>
      </c>
      <c r="I224" s="414" t="s">
        <v>1</v>
      </c>
      <c r="J224" s="425">
        <f>N135+N136+N137+N138</f>
        <v>212.47999999999996</v>
      </c>
      <c r="K224" s="414"/>
      <c r="L224" s="426"/>
      <c r="M224" s="190" t="s">
        <v>0</v>
      </c>
      <c r="N224" s="213">
        <f>J224*H224</f>
        <v>424.95999999999992</v>
      </c>
      <c r="O224" s="265" t="s">
        <v>420</v>
      </c>
      <c r="P224" s="185"/>
      <c r="Q224" s="185"/>
      <c r="R224" s="244"/>
    </row>
    <row r="225" spans="1:28" ht="16.5" customHeight="1">
      <c r="A225" s="385"/>
      <c r="B225" s="185"/>
      <c r="C225" s="185"/>
      <c r="D225" s="185"/>
      <c r="E225" s="185"/>
      <c r="F225" s="185"/>
      <c r="G225" s="185"/>
      <c r="H225" s="185"/>
      <c r="I225" s="185"/>
      <c r="J225" s="185"/>
      <c r="K225" s="996" t="s">
        <v>8</v>
      </c>
      <c r="L225" s="996"/>
      <c r="M225" s="228" t="s">
        <v>0</v>
      </c>
      <c r="N225" s="235">
        <f>SUM(N223:N224)</f>
        <v>3050.6380000000004</v>
      </c>
      <c r="O225" s="360" t="s">
        <v>420</v>
      </c>
      <c r="P225" s="185"/>
      <c r="Q225" s="185"/>
      <c r="R225" s="244"/>
    </row>
    <row r="226" spans="1:28" ht="15" customHeight="1">
      <c r="A226" s="198"/>
      <c r="B226" s="182"/>
      <c r="C226" s="182"/>
      <c r="D226" s="182"/>
      <c r="E226" s="182"/>
      <c r="F226" s="182"/>
      <c r="G226" s="182"/>
      <c r="H226" s="182"/>
      <c r="I226" s="182"/>
      <c r="J226" s="193" t="s">
        <v>350</v>
      </c>
      <c r="K226" s="407" t="s">
        <v>11</v>
      </c>
      <c r="L226" s="989">
        <v>129</v>
      </c>
      <c r="M226" s="989"/>
      <c r="N226" s="418" t="s">
        <v>421</v>
      </c>
      <c r="O226" s="294"/>
      <c r="P226" s="190" t="s">
        <v>0</v>
      </c>
      <c r="Q226" s="205" t="s">
        <v>11</v>
      </c>
      <c r="R226" s="269">
        <f>ROUND(N225*L226,0)</f>
        <v>393532</v>
      </c>
      <c r="AA226" s="43"/>
      <c r="AB226" s="427"/>
    </row>
    <row r="227" spans="1:28" ht="15" customHeight="1">
      <c r="A227" s="198"/>
      <c r="B227" s="182"/>
      <c r="C227" s="182"/>
      <c r="D227" s="182"/>
      <c r="E227" s="182"/>
      <c r="F227" s="182"/>
      <c r="G227" s="182"/>
      <c r="H227" s="182"/>
      <c r="I227" s="182"/>
      <c r="J227" s="193"/>
      <c r="K227" s="407"/>
      <c r="L227" s="407"/>
      <c r="M227" s="407"/>
      <c r="N227" s="418"/>
      <c r="O227" s="294"/>
      <c r="P227" s="190"/>
      <c r="Q227" s="205"/>
      <c r="R227" s="269"/>
      <c r="AB227" s="43"/>
    </row>
    <row r="228" spans="1:28" ht="12.75" customHeight="1">
      <c r="A228" s="997" t="s">
        <v>481</v>
      </c>
      <c r="B228" s="1000" t="s">
        <v>480</v>
      </c>
      <c r="C228" s="1000"/>
      <c r="D228" s="1000"/>
      <c r="E228" s="1000"/>
      <c r="F228" s="1000"/>
      <c r="G228" s="1000"/>
      <c r="H228" s="1000"/>
      <c r="I228" s="1000"/>
      <c r="J228" s="1000"/>
      <c r="K228" s="1000"/>
      <c r="L228" s="1000"/>
      <c r="M228" s="1000"/>
      <c r="N228" s="1000"/>
      <c r="O228" s="428"/>
      <c r="P228" s="190"/>
      <c r="Q228" s="205"/>
      <c r="R228" s="269"/>
    </row>
    <row r="229" spans="1:28" ht="12.75" customHeight="1">
      <c r="A229" s="997"/>
      <c r="B229" s="1000"/>
      <c r="C229" s="1000"/>
      <c r="D229" s="1000"/>
      <c r="E229" s="1000"/>
      <c r="F229" s="1000"/>
      <c r="G229" s="1000"/>
      <c r="H229" s="1000"/>
      <c r="I229" s="1000"/>
      <c r="J229" s="1000"/>
      <c r="K229" s="1000"/>
      <c r="L229" s="1000"/>
      <c r="M229" s="1000"/>
      <c r="N229" s="1000"/>
      <c r="O229" s="428"/>
      <c r="P229" s="190"/>
      <c r="Q229" s="205"/>
      <c r="R229" s="269"/>
    </row>
    <row r="230" spans="1:28" ht="12.75" customHeight="1">
      <c r="A230" s="997"/>
      <c r="B230" s="1000"/>
      <c r="C230" s="1000"/>
      <c r="D230" s="1000"/>
      <c r="E230" s="1000"/>
      <c r="F230" s="1000"/>
      <c r="G230" s="1000"/>
      <c r="H230" s="1000"/>
      <c r="I230" s="1000"/>
      <c r="J230" s="1000"/>
      <c r="K230" s="1000"/>
      <c r="L230" s="1000"/>
      <c r="M230" s="1000"/>
      <c r="N230" s="1000"/>
      <c r="O230" s="428"/>
      <c r="P230" s="190"/>
      <c r="Q230" s="205"/>
      <c r="R230" s="269"/>
    </row>
    <row r="231" spans="1:28" ht="15" customHeight="1">
      <c r="A231" s="198"/>
      <c r="B231" s="995" t="s">
        <v>482</v>
      </c>
      <c r="C231" s="995"/>
      <c r="D231" s="995"/>
      <c r="E231" s="995"/>
      <c r="F231" s="995"/>
      <c r="G231" s="182"/>
      <c r="H231" s="203">
        <v>1</v>
      </c>
      <c r="I231" s="414" t="s">
        <v>1</v>
      </c>
      <c r="J231" s="256">
        <f>J244</f>
        <v>397.83000000000004</v>
      </c>
      <c r="K231" s="414" t="s">
        <v>1</v>
      </c>
      <c r="L231" s="186">
        <f>L223</f>
        <v>3.3</v>
      </c>
      <c r="M231" s="190" t="s">
        <v>0</v>
      </c>
      <c r="N231" s="213">
        <f>L231*J231*H231</f>
        <v>1312.8390000000002</v>
      </c>
      <c r="O231" s="265" t="s">
        <v>420</v>
      </c>
      <c r="P231" s="185"/>
      <c r="Q231" s="185"/>
      <c r="R231" s="244"/>
    </row>
    <row r="232" spans="1:28" ht="15" customHeight="1">
      <c r="A232" s="198"/>
      <c r="B232" s="182"/>
      <c r="C232" s="182"/>
      <c r="D232" s="182"/>
      <c r="E232" s="182"/>
      <c r="F232" s="182"/>
      <c r="G232" s="182"/>
      <c r="H232" s="203">
        <v>1</v>
      </c>
      <c r="I232" s="414" t="s">
        <v>1</v>
      </c>
      <c r="J232" s="425">
        <f>J245</f>
        <v>212.47999999999996</v>
      </c>
      <c r="K232" s="414"/>
      <c r="L232" s="426"/>
      <c r="M232" s="190" t="s">
        <v>0</v>
      </c>
      <c r="N232" s="213">
        <f>J232*H232</f>
        <v>212.47999999999996</v>
      </c>
      <c r="O232" s="265" t="s">
        <v>420</v>
      </c>
      <c r="P232" s="185"/>
      <c r="Q232" s="185"/>
      <c r="R232" s="244"/>
    </row>
    <row r="233" spans="1:28" ht="15" customHeight="1">
      <c r="A233" s="198"/>
      <c r="B233" s="182"/>
      <c r="C233" s="182"/>
      <c r="D233" s="182"/>
      <c r="E233" s="182"/>
      <c r="F233" s="182"/>
      <c r="G233" s="182"/>
      <c r="H233" s="185"/>
      <c r="I233" s="185"/>
      <c r="J233" s="185"/>
      <c r="K233" s="996" t="s">
        <v>8</v>
      </c>
      <c r="L233" s="996"/>
      <c r="M233" s="228" t="s">
        <v>0</v>
      </c>
      <c r="N233" s="235">
        <f>SUM(N231:N232)</f>
        <v>1525.3190000000002</v>
      </c>
      <c r="O233" s="360" t="s">
        <v>420</v>
      </c>
      <c r="P233" s="185"/>
      <c r="Q233" s="185"/>
      <c r="R233" s="244"/>
    </row>
    <row r="234" spans="1:28" ht="15" customHeight="1">
      <c r="A234" s="198"/>
      <c r="B234" s="182"/>
      <c r="C234" s="182"/>
      <c r="D234" s="182"/>
      <c r="E234" s="182"/>
      <c r="F234" s="182"/>
      <c r="G234" s="182"/>
      <c r="H234" s="182"/>
      <c r="I234" s="182"/>
      <c r="J234" s="193" t="s">
        <v>350</v>
      </c>
      <c r="K234" s="407" t="s">
        <v>11</v>
      </c>
      <c r="L234" s="989">
        <v>20</v>
      </c>
      <c r="M234" s="989"/>
      <c r="N234" s="418" t="s">
        <v>421</v>
      </c>
      <c r="O234" s="294"/>
      <c r="P234" s="190" t="s">
        <v>0</v>
      </c>
      <c r="Q234" s="205" t="s">
        <v>11</v>
      </c>
      <c r="R234" s="269">
        <f>ROUND(N233*L234,0)</f>
        <v>30506</v>
      </c>
    </row>
    <row r="235" spans="1:28" ht="15" customHeight="1">
      <c r="A235" s="198"/>
      <c r="B235" s="182"/>
      <c r="C235" s="182"/>
      <c r="D235" s="182"/>
      <c r="E235" s="182"/>
      <c r="F235" s="182"/>
      <c r="G235" s="182"/>
      <c r="H235" s="182"/>
      <c r="I235" s="182"/>
      <c r="J235" s="193"/>
      <c r="K235" s="407"/>
      <c r="L235" s="407"/>
      <c r="M235" s="407"/>
      <c r="N235" s="418"/>
      <c r="O235" s="294"/>
      <c r="P235" s="190"/>
      <c r="Q235" s="205"/>
      <c r="R235" s="269"/>
    </row>
    <row r="236" spans="1:28" ht="15" customHeight="1">
      <c r="A236" s="198"/>
      <c r="B236" s="182"/>
      <c r="C236" s="182"/>
      <c r="D236" s="182"/>
      <c r="E236" s="182"/>
      <c r="F236" s="182"/>
      <c r="G236" s="182"/>
      <c r="H236" s="182"/>
      <c r="I236" s="182"/>
      <c r="J236" s="193"/>
      <c r="K236" s="429"/>
      <c r="L236" s="429"/>
      <c r="M236" s="429"/>
      <c r="N236" s="432"/>
      <c r="O236" s="294"/>
      <c r="P236" s="190"/>
      <c r="Q236" s="205"/>
      <c r="R236" s="269"/>
    </row>
    <row r="237" spans="1:28" ht="15" customHeight="1">
      <c r="A237" s="198"/>
      <c r="B237" s="182"/>
      <c r="C237" s="182"/>
      <c r="D237" s="182"/>
      <c r="E237" s="182"/>
      <c r="F237" s="182"/>
      <c r="G237" s="182"/>
      <c r="H237" s="182"/>
      <c r="I237" s="182"/>
      <c r="J237" s="193"/>
      <c r="K237" s="429"/>
      <c r="L237" s="429"/>
      <c r="M237" s="429"/>
      <c r="N237" s="432"/>
      <c r="O237" s="294"/>
      <c r="P237" s="190"/>
      <c r="Q237" s="205"/>
      <c r="R237" s="269"/>
    </row>
    <row r="238" spans="1:28" ht="15" customHeight="1">
      <c r="A238" s="198"/>
      <c r="B238" s="182"/>
      <c r="C238" s="182"/>
      <c r="D238" s="182"/>
      <c r="E238" s="182"/>
      <c r="F238" s="182"/>
      <c r="G238" s="182"/>
      <c r="H238" s="182"/>
      <c r="I238" s="182"/>
      <c r="J238" s="193"/>
      <c r="K238" s="407"/>
      <c r="L238" s="407"/>
      <c r="M238" s="407"/>
      <c r="N238" s="418"/>
      <c r="O238" s="294"/>
      <c r="P238" s="190"/>
      <c r="Q238" s="205"/>
      <c r="R238" s="269"/>
    </row>
    <row r="239" spans="1:28" ht="15" customHeight="1">
      <c r="A239" s="198"/>
      <c r="B239" s="182"/>
      <c r="C239" s="182"/>
      <c r="D239" s="182"/>
      <c r="E239" s="182"/>
      <c r="F239" s="182"/>
      <c r="G239" s="182"/>
      <c r="H239" s="182"/>
      <c r="I239" s="182"/>
      <c r="J239" s="193"/>
      <c r="K239" s="407"/>
      <c r="L239" s="407"/>
      <c r="M239" s="407"/>
      <c r="N239" s="418"/>
      <c r="O239" s="281" t="s">
        <v>24</v>
      </c>
      <c r="P239" s="251" t="s">
        <v>0</v>
      </c>
      <c r="Q239" s="252" t="s">
        <v>11</v>
      </c>
      <c r="R239" s="273">
        <f>SUM(R199:R234)</f>
        <v>3634879.48</v>
      </c>
    </row>
    <row r="240" spans="1:28" ht="15" customHeight="1">
      <c r="A240" s="198"/>
      <c r="B240" s="182"/>
      <c r="C240" s="182"/>
      <c r="D240" s="182"/>
      <c r="E240" s="182"/>
      <c r="F240" s="182"/>
      <c r="G240" s="182"/>
      <c r="H240" s="182"/>
      <c r="I240" s="182"/>
      <c r="J240" s="193"/>
      <c r="K240" s="407"/>
      <c r="L240" s="407"/>
      <c r="M240" s="407"/>
      <c r="N240" s="418"/>
      <c r="O240" s="281" t="s">
        <v>25</v>
      </c>
      <c r="P240" s="251" t="s">
        <v>0</v>
      </c>
      <c r="Q240" s="252" t="s">
        <v>11</v>
      </c>
      <c r="R240" s="273">
        <f>R239</f>
        <v>3634879.48</v>
      </c>
    </row>
    <row r="241" spans="1:30" ht="15" customHeight="1">
      <c r="A241" s="198"/>
      <c r="B241" s="182"/>
      <c r="C241" s="182"/>
      <c r="D241" s="182"/>
      <c r="E241" s="182"/>
      <c r="F241" s="182"/>
      <c r="G241" s="182"/>
      <c r="H241" s="182"/>
      <c r="I241" s="182"/>
      <c r="J241" s="193"/>
      <c r="K241" s="407"/>
      <c r="L241" s="407"/>
      <c r="M241" s="407"/>
      <c r="N241" s="418"/>
      <c r="O241" s="281"/>
      <c r="P241" s="251"/>
      <c r="Q241" s="252"/>
      <c r="R241" s="273"/>
    </row>
    <row r="242" spans="1:30" ht="15" customHeight="1">
      <c r="A242" s="997" t="s">
        <v>483</v>
      </c>
      <c r="B242" s="998" t="s">
        <v>415</v>
      </c>
      <c r="C242" s="998"/>
      <c r="D242" s="998"/>
      <c r="E242" s="998"/>
      <c r="F242" s="998"/>
      <c r="G242" s="998"/>
      <c r="H242" s="998"/>
      <c r="I242" s="998"/>
      <c r="J242" s="998"/>
      <c r="K242" s="998"/>
      <c r="L242" s="998"/>
      <c r="M242" s="998"/>
      <c r="N242" s="998"/>
      <c r="O242" s="998"/>
      <c r="P242" s="190"/>
      <c r="Q242" s="205"/>
      <c r="R242" s="269"/>
    </row>
    <row r="243" spans="1:30" ht="37.5" customHeight="1">
      <c r="A243" s="997"/>
      <c r="B243" s="998"/>
      <c r="C243" s="998"/>
      <c r="D243" s="998"/>
      <c r="E243" s="998"/>
      <c r="F243" s="998"/>
      <c r="G243" s="998"/>
      <c r="H243" s="998"/>
      <c r="I243" s="998"/>
      <c r="J243" s="998"/>
      <c r="K243" s="998"/>
      <c r="L243" s="998"/>
      <c r="M243" s="998"/>
      <c r="N243" s="998"/>
      <c r="O243" s="998"/>
      <c r="P243" s="190"/>
      <c r="Q243" s="205"/>
      <c r="R243" s="269"/>
    </row>
    <row r="244" spans="1:30" ht="15" customHeight="1">
      <c r="A244" s="198"/>
      <c r="B244" s="994" t="s">
        <v>484</v>
      </c>
      <c r="C244" s="994"/>
      <c r="D244" s="994"/>
      <c r="E244" s="994"/>
      <c r="F244" s="994"/>
      <c r="G244" s="994"/>
      <c r="H244" s="203">
        <v>1</v>
      </c>
      <c r="I244" s="414" t="s">
        <v>1</v>
      </c>
      <c r="J244" s="256">
        <f>J223</f>
        <v>397.83000000000004</v>
      </c>
      <c r="K244" s="414" t="s">
        <v>1</v>
      </c>
      <c r="L244" s="186">
        <f>L223</f>
        <v>3.3</v>
      </c>
      <c r="M244" s="190" t="s">
        <v>0</v>
      </c>
      <c r="N244" s="213">
        <f>L244*J244*H244</f>
        <v>1312.8390000000002</v>
      </c>
      <c r="O244" s="265" t="s">
        <v>420</v>
      </c>
      <c r="P244" s="185"/>
      <c r="Q244" s="185"/>
      <c r="R244" s="244"/>
    </row>
    <row r="245" spans="1:30" ht="15" customHeight="1">
      <c r="A245" s="198"/>
      <c r="B245" s="994"/>
      <c r="C245" s="994"/>
      <c r="D245" s="994"/>
      <c r="E245" s="994"/>
      <c r="F245" s="994"/>
      <c r="G245" s="994"/>
      <c r="H245" s="203">
        <v>1</v>
      </c>
      <c r="I245" s="414" t="s">
        <v>1</v>
      </c>
      <c r="J245" s="425">
        <f>J224</f>
        <v>212.47999999999996</v>
      </c>
      <c r="K245" s="414"/>
      <c r="L245" s="426"/>
      <c r="M245" s="190" t="s">
        <v>0</v>
      </c>
      <c r="N245" s="213">
        <f>J245*H245</f>
        <v>212.47999999999996</v>
      </c>
      <c r="O245" s="265" t="s">
        <v>420</v>
      </c>
      <c r="P245" s="185"/>
      <c r="Q245" s="185"/>
      <c r="R245" s="244"/>
    </row>
    <row r="246" spans="1:30" ht="15" customHeight="1">
      <c r="A246" s="198"/>
      <c r="B246" s="182"/>
      <c r="C246" s="182"/>
      <c r="D246" s="182"/>
      <c r="E246" s="182"/>
      <c r="F246" s="182"/>
      <c r="G246" s="182"/>
      <c r="H246" s="185"/>
      <c r="I246" s="185"/>
      <c r="J246" s="185"/>
      <c r="K246" s="996" t="s">
        <v>8</v>
      </c>
      <c r="L246" s="996"/>
      <c r="M246" s="228" t="s">
        <v>0</v>
      </c>
      <c r="N246" s="235">
        <f>SUM(N244:N245)</f>
        <v>1525.3190000000002</v>
      </c>
      <c r="O246" s="360" t="s">
        <v>420</v>
      </c>
      <c r="P246" s="185"/>
      <c r="Q246" s="185"/>
      <c r="R246" s="244"/>
    </row>
    <row r="247" spans="1:30" ht="15" customHeight="1">
      <c r="A247" s="198"/>
      <c r="B247" s="182"/>
      <c r="C247" s="182"/>
      <c r="D247" s="182"/>
      <c r="E247" s="182"/>
      <c r="F247" s="182"/>
      <c r="G247" s="182"/>
      <c r="H247" s="182"/>
      <c r="I247" s="182"/>
      <c r="J247" s="193" t="s">
        <v>350</v>
      </c>
      <c r="K247" s="407" t="s">
        <v>11</v>
      </c>
      <c r="L247" s="989">
        <v>166</v>
      </c>
      <c r="M247" s="989"/>
      <c r="N247" s="418" t="s">
        <v>421</v>
      </c>
      <c r="O247" s="294"/>
      <c r="P247" s="188" t="s">
        <v>0</v>
      </c>
      <c r="Q247" s="247" t="s">
        <v>11</v>
      </c>
      <c r="R247" s="275">
        <f>ROUND(N246*L247,0)</f>
        <v>253203</v>
      </c>
    </row>
    <row r="248" spans="1:30" ht="15" customHeight="1">
      <c r="A248" s="198"/>
      <c r="B248" s="182"/>
      <c r="C248" s="182"/>
      <c r="D248" s="182"/>
      <c r="E248" s="182"/>
      <c r="F248" s="182"/>
      <c r="G248" s="182"/>
      <c r="H248" s="182"/>
      <c r="I248" s="182"/>
      <c r="J248" s="193"/>
      <c r="K248" s="407"/>
      <c r="L248" s="407"/>
      <c r="M248" s="407"/>
      <c r="N248" s="990" t="s">
        <v>369</v>
      </c>
      <c r="O248" s="990"/>
      <c r="P248" s="251" t="s">
        <v>0</v>
      </c>
      <c r="Q248" s="252" t="s">
        <v>11</v>
      </c>
      <c r="R248" s="276">
        <f>SUM(R240:R247)</f>
        <v>3888082.48</v>
      </c>
      <c r="W248" s="159"/>
      <c r="X248" s="159"/>
      <c r="Y248" s="159"/>
      <c r="Z248" s="159"/>
      <c r="AA248" s="159"/>
      <c r="AB248" s="159"/>
      <c r="AC248" s="159"/>
      <c r="AD248" s="159"/>
    </row>
    <row r="249" spans="1:30" ht="13.5" customHeight="1">
      <c r="A249" s="389"/>
      <c r="B249" s="241"/>
      <c r="C249" s="241"/>
      <c r="D249" s="241"/>
      <c r="E249" s="241"/>
      <c r="F249" s="241"/>
      <c r="G249" s="241"/>
      <c r="H249" s="241"/>
      <c r="I249" s="241"/>
      <c r="J249" s="241"/>
      <c r="K249" s="241"/>
      <c r="L249" s="241"/>
      <c r="M249" s="241"/>
      <c r="N249" s="990" t="s">
        <v>351</v>
      </c>
      <c r="O249" s="990"/>
      <c r="P249" s="254" t="s">
        <v>0</v>
      </c>
      <c r="Q249" s="255" t="s">
        <v>11</v>
      </c>
      <c r="R249" s="273">
        <f>R248</f>
        <v>3888082.48</v>
      </c>
    </row>
    <row r="250" spans="1:30" ht="13.5" customHeight="1">
      <c r="A250" s="389"/>
      <c r="B250" s="241"/>
      <c r="C250" s="241"/>
      <c r="D250" s="241"/>
      <c r="E250" s="241"/>
      <c r="F250" s="241"/>
      <c r="G250" s="241"/>
      <c r="H250" s="241"/>
      <c r="I250" s="241"/>
      <c r="J250" s="241"/>
      <c r="K250" s="241"/>
      <c r="L250" s="241"/>
      <c r="M250" s="241"/>
      <c r="N250" s="406"/>
      <c r="O250" s="406"/>
      <c r="P250" s="254"/>
      <c r="Q250" s="255"/>
      <c r="R250" s="273"/>
    </row>
    <row r="251" spans="1:30" ht="13.5" customHeight="1">
      <c r="A251" s="389"/>
      <c r="B251" s="241"/>
      <c r="C251" s="241"/>
      <c r="D251" s="241"/>
      <c r="E251" s="241"/>
      <c r="F251" s="241"/>
      <c r="G251" s="241"/>
      <c r="H251" s="241"/>
      <c r="I251" s="241"/>
      <c r="J251" s="241"/>
      <c r="K251" s="241"/>
      <c r="L251" s="241"/>
      <c r="M251" s="241"/>
      <c r="N251" s="406"/>
      <c r="O251" s="406"/>
      <c r="P251" s="254"/>
      <c r="Q251" s="255"/>
      <c r="R251" s="273"/>
    </row>
    <row r="252" spans="1:30" ht="13.5" customHeight="1">
      <c r="A252" s="389"/>
      <c r="B252" s="241"/>
      <c r="C252" s="241"/>
      <c r="D252" s="241"/>
      <c r="E252" s="241"/>
      <c r="F252" s="241"/>
      <c r="G252" s="241"/>
      <c r="H252" s="241"/>
      <c r="I252" s="241"/>
      <c r="J252" s="241"/>
      <c r="K252" s="241"/>
      <c r="L252" s="241"/>
      <c r="M252" s="241"/>
      <c r="N252" s="406"/>
      <c r="O252" s="285"/>
      <c r="P252" s="254"/>
      <c r="Q252" s="255"/>
      <c r="R252" s="273"/>
      <c r="W252" s="250"/>
    </row>
    <row r="253" spans="1:30" ht="21" customHeight="1">
      <c r="A253" s="991" t="s">
        <v>489</v>
      </c>
      <c r="B253" s="991"/>
      <c r="C253" s="991"/>
      <c r="D253" s="991"/>
      <c r="E253" s="991"/>
      <c r="F253" s="991"/>
      <c r="G253" s="991"/>
      <c r="H253" s="991"/>
      <c r="I253" s="991"/>
      <c r="J253" s="991"/>
      <c r="K253" s="991"/>
      <c r="L253" s="991"/>
      <c r="M253" s="991"/>
      <c r="N253" s="991"/>
      <c r="O253" s="991"/>
      <c r="P253" s="991"/>
      <c r="Q253" s="991"/>
      <c r="R253" s="991"/>
    </row>
    <row r="254" spans="1:30" ht="13.5" customHeight="1">
      <c r="A254" s="991"/>
      <c r="B254" s="991"/>
      <c r="C254" s="991"/>
      <c r="D254" s="991"/>
      <c r="E254" s="991"/>
      <c r="F254" s="991"/>
      <c r="G254" s="991"/>
      <c r="H254" s="991"/>
      <c r="I254" s="991"/>
      <c r="J254" s="991"/>
      <c r="K254" s="991"/>
      <c r="L254" s="991"/>
      <c r="M254" s="991"/>
      <c r="N254" s="991"/>
      <c r="O254" s="991"/>
      <c r="P254" s="991"/>
      <c r="Q254" s="991"/>
      <c r="R254" s="991"/>
    </row>
    <row r="255" spans="1:30" s="159" customFormat="1" ht="14.25" customHeight="1">
      <c r="A255" s="279"/>
      <c r="B255" s="192"/>
      <c r="C255" s="192"/>
      <c r="D255" s="192"/>
      <c r="E255" s="192"/>
      <c r="F255" s="237"/>
      <c r="G255" s="205"/>
      <c r="H255" s="192"/>
      <c r="I255" s="238"/>
      <c r="J255" s="213"/>
      <c r="K255" s="192"/>
      <c r="L255" s="187"/>
      <c r="M255" s="404"/>
      <c r="N255" s="192"/>
      <c r="O255" s="294"/>
      <c r="P255" s="192"/>
      <c r="Q255" s="205"/>
      <c r="R255" s="269"/>
      <c r="W255" s="157"/>
      <c r="X255" s="157"/>
      <c r="Y255" s="157"/>
      <c r="Z255" s="157"/>
      <c r="AA255" s="157"/>
      <c r="AB255" s="157"/>
      <c r="AC255" s="157"/>
      <c r="AD255" s="157"/>
    </row>
    <row r="256" spans="1:30" s="159" customFormat="1" ht="14.25" customHeight="1">
      <c r="A256" s="279"/>
      <c r="B256" s="192"/>
      <c r="C256" s="192"/>
      <c r="D256" s="192"/>
      <c r="E256" s="192"/>
      <c r="F256" s="237"/>
      <c r="G256" s="205"/>
      <c r="H256" s="192"/>
      <c r="I256" s="238"/>
      <c r="J256" s="213"/>
      <c r="K256" s="192"/>
      <c r="L256" s="187"/>
      <c r="M256" s="404"/>
      <c r="N256" s="192"/>
      <c r="O256" s="294"/>
      <c r="P256" s="192"/>
      <c r="Q256" s="205"/>
      <c r="R256" s="269"/>
      <c r="W256" s="157"/>
      <c r="X256" s="157"/>
      <c r="Y256" s="157"/>
      <c r="Z256" s="157"/>
      <c r="AA256" s="157"/>
      <c r="AB256" s="157"/>
      <c r="AC256" s="157"/>
      <c r="AD256" s="157"/>
    </row>
    <row r="257" spans="1:30" s="159" customFormat="1" ht="14.25" customHeight="1">
      <c r="A257" s="279"/>
      <c r="B257" s="192"/>
      <c r="C257" s="192"/>
      <c r="D257" s="192"/>
      <c r="E257" s="192"/>
      <c r="F257" s="237"/>
      <c r="G257" s="205"/>
      <c r="H257" s="192"/>
      <c r="I257" s="238"/>
      <c r="J257" s="213"/>
      <c r="K257" s="192"/>
      <c r="L257" s="187"/>
      <c r="M257" s="404"/>
      <c r="N257" s="192"/>
      <c r="O257" s="294"/>
      <c r="P257" s="192"/>
      <c r="Q257" s="205"/>
      <c r="R257" s="269"/>
      <c r="W257" s="157"/>
      <c r="X257" s="157"/>
      <c r="Y257" s="157"/>
      <c r="Z257" s="157"/>
      <c r="AA257" s="157"/>
      <c r="AB257" s="157"/>
      <c r="AC257" s="157"/>
      <c r="AD257" s="157"/>
    </row>
    <row r="258" spans="1:30" s="159" customFormat="1" ht="14.25" customHeight="1">
      <c r="A258" s="279"/>
      <c r="B258" s="192"/>
      <c r="C258" s="192"/>
      <c r="D258" s="192"/>
      <c r="E258" s="192"/>
      <c r="F258" s="237"/>
      <c r="G258" s="205"/>
      <c r="H258" s="192"/>
      <c r="I258" s="238"/>
      <c r="J258" s="213"/>
      <c r="K258" s="192"/>
      <c r="L258" s="187"/>
      <c r="M258" s="404"/>
      <c r="N258" s="192"/>
      <c r="O258" s="294"/>
      <c r="P258" s="192"/>
      <c r="Q258" s="205"/>
      <c r="R258" s="269"/>
      <c r="W258" s="157"/>
      <c r="X258" s="157"/>
      <c r="Y258" s="157"/>
      <c r="Z258" s="157"/>
      <c r="AA258" s="157"/>
      <c r="AB258" s="157"/>
      <c r="AC258" s="157"/>
      <c r="AD258" s="157"/>
    </row>
    <row r="259" spans="1:30" ht="15" customHeight="1">
      <c r="A259" s="279"/>
      <c r="B259" s="192"/>
      <c r="C259" s="192"/>
      <c r="D259" s="192"/>
      <c r="E259" s="192"/>
      <c r="F259" s="237"/>
      <c r="G259" s="205"/>
      <c r="H259" s="192"/>
      <c r="I259" s="238"/>
      <c r="J259" s="239"/>
      <c r="K259" s="237"/>
      <c r="L259" s="191"/>
      <c r="M259" s="191"/>
      <c r="N259" s="240"/>
      <c r="O259" s="294"/>
      <c r="P259" s="190"/>
      <c r="Q259" s="205"/>
      <c r="R259" s="269"/>
    </row>
    <row r="260" spans="1:30" ht="13.5" customHeight="1">
      <c r="A260" s="992" t="s">
        <v>356</v>
      </c>
      <c r="B260" s="992"/>
      <c r="C260" s="992"/>
      <c r="D260" s="992"/>
      <c r="E260" s="992"/>
      <c r="F260" s="992"/>
      <c r="G260" s="992"/>
      <c r="H260" s="992"/>
      <c r="I260" s="992"/>
      <c r="J260" s="992"/>
      <c r="K260" s="992"/>
      <c r="L260" s="992"/>
      <c r="M260" s="992"/>
      <c r="N260" s="992"/>
      <c r="O260" s="992"/>
      <c r="P260" s="992"/>
      <c r="Q260" s="992"/>
      <c r="R260" s="992"/>
    </row>
    <row r="261" spans="1:30" ht="27.75" customHeight="1">
      <c r="A261" s="161"/>
      <c r="B261" s="162"/>
      <c r="C261" s="162"/>
      <c r="D261" s="162"/>
      <c r="E261" s="162"/>
      <c r="F261" s="165"/>
      <c r="G261" s="166"/>
      <c r="H261" s="162"/>
      <c r="I261" s="179"/>
      <c r="J261" s="167"/>
      <c r="K261" s="162"/>
      <c r="L261" s="163"/>
      <c r="M261" s="169"/>
      <c r="N261" s="164"/>
      <c r="O261" s="286"/>
      <c r="P261" s="164"/>
      <c r="Q261" s="170"/>
      <c r="R261" s="277"/>
    </row>
    <row r="262" spans="1:30">
      <c r="A262" s="161"/>
      <c r="B262" s="162"/>
      <c r="C262" s="162"/>
      <c r="D262" s="162"/>
      <c r="E262" s="162"/>
      <c r="F262" s="165"/>
      <c r="G262" s="166"/>
      <c r="H262" s="162"/>
      <c r="I262" s="179"/>
      <c r="J262" s="167"/>
      <c r="K262" s="162"/>
      <c r="L262" s="163"/>
      <c r="M262" s="169"/>
      <c r="N262" s="164"/>
      <c r="O262" s="286"/>
      <c r="P262" s="164"/>
      <c r="Q262" s="170"/>
      <c r="R262" s="277"/>
    </row>
    <row r="263" spans="1:30">
      <c r="A263" s="161"/>
      <c r="B263" s="162"/>
      <c r="C263" s="162"/>
      <c r="D263" s="162"/>
      <c r="E263" s="162"/>
      <c r="F263" s="165"/>
      <c r="G263" s="166"/>
      <c r="H263" s="162"/>
      <c r="I263" s="179"/>
      <c r="J263" s="167"/>
      <c r="K263" s="162"/>
      <c r="L263" s="163"/>
      <c r="M263" s="169"/>
      <c r="N263" s="164"/>
      <c r="O263" s="286"/>
      <c r="P263" s="164"/>
      <c r="Q263" s="170"/>
      <c r="R263" s="277"/>
    </row>
    <row r="264" spans="1:30" ht="14.25" customHeight="1">
      <c r="A264" s="161"/>
      <c r="B264" s="162"/>
      <c r="C264" s="162"/>
      <c r="D264" s="162"/>
      <c r="E264" s="162"/>
      <c r="F264" s="165"/>
      <c r="G264" s="166"/>
      <c r="H264" s="162"/>
      <c r="I264" s="179"/>
      <c r="J264" s="167"/>
      <c r="K264" s="162"/>
      <c r="L264" s="163"/>
      <c r="M264" s="169"/>
      <c r="N264" s="164"/>
      <c r="O264" s="286"/>
      <c r="P264" s="164"/>
      <c r="Q264" s="170"/>
      <c r="R264" s="277"/>
    </row>
    <row r="265" spans="1:30" ht="26.25" customHeight="1">
      <c r="A265" s="161"/>
      <c r="B265" s="162"/>
      <c r="C265" s="162"/>
      <c r="D265" s="162"/>
      <c r="E265" s="162"/>
      <c r="F265" s="165"/>
      <c r="G265" s="166"/>
      <c r="H265" s="162"/>
      <c r="I265" s="179"/>
      <c r="J265" s="167"/>
      <c r="K265" s="162"/>
      <c r="L265" s="163"/>
      <c r="M265" s="169"/>
      <c r="N265" s="164"/>
      <c r="O265" s="286"/>
      <c r="P265" s="164"/>
      <c r="Q265" s="170"/>
      <c r="R265" s="277"/>
    </row>
    <row r="266" spans="1:30">
      <c r="A266" s="161"/>
      <c r="B266" s="162"/>
      <c r="C266" s="162"/>
      <c r="D266" s="162"/>
      <c r="E266" s="162"/>
      <c r="F266" s="165"/>
      <c r="G266" s="166"/>
      <c r="H266" s="162"/>
      <c r="I266" s="179"/>
      <c r="J266" s="167"/>
      <c r="K266" s="162"/>
      <c r="L266" s="163"/>
      <c r="M266" s="169"/>
      <c r="N266" s="164"/>
      <c r="O266" s="286"/>
      <c r="P266" s="164"/>
      <c r="Q266" s="170"/>
      <c r="R266" s="277"/>
    </row>
    <row r="267" spans="1:30" ht="13.5" customHeight="1">
      <c r="A267" s="161"/>
      <c r="B267" s="162"/>
      <c r="C267" s="162"/>
      <c r="D267" s="162"/>
      <c r="E267" s="162"/>
      <c r="F267" s="165"/>
      <c r="G267" s="166"/>
      <c r="H267" s="162"/>
      <c r="I267" s="179"/>
      <c r="J267" s="167"/>
      <c r="K267" s="162"/>
      <c r="L267" s="163"/>
      <c r="M267" s="169"/>
      <c r="N267" s="164"/>
      <c r="O267" s="286"/>
      <c r="P267" s="164"/>
      <c r="Q267" s="170"/>
      <c r="R267" s="277"/>
    </row>
    <row r="268" spans="1:30">
      <c r="A268" s="161"/>
      <c r="B268" s="162"/>
      <c r="C268" s="162"/>
      <c r="D268" s="162"/>
      <c r="E268" s="162"/>
      <c r="F268" s="165"/>
      <c r="G268" s="166"/>
      <c r="H268" s="162"/>
      <c r="I268" s="179"/>
      <c r="J268" s="167"/>
      <c r="K268" s="162"/>
      <c r="L268" s="163"/>
      <c r="M268" s="169"/>
      <c r="N268" s="164"/>
      <c r="O268" s="286"/>
      <c r="P268" s="164"/>
      <c r="Q268" s="170"/>
      <c r="R268" s="277"/>
    </row>
    <row r="269" spans="1:30">
      <c r="A269" s="161"/>
      <c r="B269" s="162"/>
      <c r="C269" s="162"/>
      <c r="D269" s="162"/>
      <c r="E269" s="162"/>
      <c r="F269" s="165"/>
      <c r="G269" s="166"/>
      <c r="H269" s="162"/>
      <c r="I269" s="179"/>
      <c r="J269" s="167"/>
      <c r="K269" s="162"/>
      <c r="L269" s="163"/>
      <c r="M269" s="169"/>
      <c r="N269" s="164"/>
      <c r="O269" s="286"/>
      <c r="P269" s="164"/>
      <c r="Q269" s="170"/>
      <c r="R269" s="277"/>
    </row>
    <row r="270" spans="1:30" ht="15.75" customHeight="1">
      <c r="A270" s="161"/>
      <c r="B270" s="162"/>
      <c r="C270" s="162"/>
      <c r="D270" s="162"/>
      <c r="E270" s="162"/>
      <c r="F270" s="165"/>
      <c r="G270" s="166"/>
      <c r="H270" s="162"/>
      <c r="I270" s="179"/>
      <c r="J270" s="167"/>
      <c r="K270" s="162"/>
      <c r="L270" s="163"/>
      <c r="M270" s="169"/>
      <c r="N270" s="164"/>
      <c r="O270" s="286"/>
      <c r="P270" s="164"/>
      <c r="Q270" s="170"/>
      <c r="R270" s="277"/>
    </row>
    <row r="271" spans="1:30" ht="15" customHeight="1">
      <c r="A271" s="161"/>
      <c r="B271" s="162"/>
      <c r="C271" s="162"/>
      <c r="D271" s="162"/>
      <c r="E271" s="162"/>
      <c r="F271" s="165"/>
      <c r="G271" s="166"/>
      <c r="H271" s="162"/>
      <c r="I271" s="179"/>
      <c r="J271" s="167"/>
      <c r="K271" s="162"/>
      <c r="L271" s="163"/>
      <c r="M271" s="169"/>
      <c r="N271" s="164"/>
      <c r="O271" s="286"/>
      <c r="P271" s="164"/>
      <c r="Q271" s="170"/>
      <c r="R271" s="277"/>
    </row>
    <row r="272" spans="1:30" ht="15" customHeight="1">
      <c r="A272" s="161"/>
      <c r="B272" s="162"/>
      <c r="C272" s="162"/>
      <c r="D272" s="162"/>
      <c r="E272" s="162"/>
      <c r="F272" s="165"/>
      <c r="G272" s="166"/>
      <c r="H272" s="162"/>
      <c r="I272" s="179"/>
      <c r="J272" s="167"/>
      <c r="K272" s="162"/>
      <c r="L272" s="163"/>
      <c r="M272" s="169"/>
      <c r="N272" s="164"/>
      <c r="O272" s="286"/>
      <c r="P272" s="164"/>
      <c r="Q272" s="170"/>
      <c r="R272" s="277"/>
    </row>
    <row r="273" spans="1:30" ht="15" customHeight="1">
      <c r="A273" s="161"/>
      <c r="B273" s="162"/>
      <c r="C273" s="162"/>
      <c r="D273" s="162"/>
      <c r="E273" s="162"/>
      <c r="F273" s="165"/>
      <c r="G273" s="166"/>
      <c r="H273" s="162"/>
      <c r="I273" s="179"/>
      <c r="J273" s="167"/>
      <c r="K273" s="162"/>
      <c r="L273" s="163"/>
      <c r="M273" s="169"/>
      <c r="N273" s="164"/>
      <c r="O273" s="286"/>
      <c r="P273" s="164"/>
      <c r="Q273" s="170"/>
      <c r="R273" s="277"/>
    </row>
    <row r="274" spans="1:30" ht="15" customHeight="1">
      <c r="A274" s="161"/>
      <c r="B274" s="162"/>
      <c r="C274" s="162"/>
      <c r="D274" s="162"/>
      <c r="E274" s="162"/>
      <c r="F274" s="165"/>
      <c r="G274" s="166"/>
      <c r="H274" s="162"/>
      <c r="I274" s="179"/>
      <c r="J274" s="167"/>
      <c r="K274" s="162"/>
      <c r="L274" s="163"/>
      <c r="M274" s="169"/>
      <c r="N274" s="164"/>
      <c r="O274" s="286"/>
      <c r="P274" s="164"/>
      <c r="Q274" s="170"/>
      <c r="R274" s="277"/>
    </row>
    <row r="275" spans="1:30" ht="14.25" customHeight="1">
      <c r="A275" s="161"/>
      <c r="B275" s="162"/>
      <c r="C275" s="162"/>
      <c r="D275" s="162"/>
      <c r="E275" s="162"/>
      <c r="F275" s="165"/>
      <c r="G275" s="166"/>
      <c r="H275" s="162"/>
      <c r="I275" s="179"/>
      <c r="J275" s="167"/>
      <c r="K275" s="162"/>
      <c r="L275" s="163"/>
      <c r="M275" s="169"/>
      <c r="N275" s="164"/>
      <c r="O275" s="286"/>
      <c r="P275" s="164"/>
      <c r="Q275" s="170"/>
      <c r="R275" s="277"/>
    </row>
    <row r="276" spans="1:30" ht="13.5" customHeight="1">
      <c r="A276" s="161"/>
      <c r="B276" s="162"/>
      <c r="C276" s="162"/>
      <c r="D276" s="162"/>
      <c r="E276" s="162"/>
      <c r="F276" s="165"/>
      <c r="G276" s="166"/>
      <c r="H276" s="162"/>
      <c r="I276" s="179"/>
      <c r="J276" s="167"/>
      <c r="K276" s="162"/>
      <c r="L276" s="163"/>
      <c r="M276" s="169"/>
      <c r="N276" s="164"/>
      <c r="O276" s="286"/>
      <c r="P276" s="164"/>
      <c r="Q276" s="170"/>
      <c r="R276" s="277"/>
    </row>
    <row r="277" spans="1:30" ht="13.5" customHeight="1">
      <c r="A277" s="161"/>
      <c r="B277" s="162"/>
      <c r="C277" s="162"/>
      <c r="D277" s="162"/>
      <c r="E277" s="162"/>
      <c r="F277" s="165"/>
      <c r="G277" s="166"/>
      <c r="H277" s="162"/>
      <c r="I277" s="179"/>
      <c r="J277" s="167"/>
      <c r="K277" s="162"/>
      <c r="L277" s="163"/>
      <c r="M277" s="169"/>
      <c r="N277" s="164"/>
      <c r="O277" s="286"/>
      <c r="P277" s="164"/>
      <c r="Q277" s="170"/>
      <c r="R277" s="277"/>
    </row>
    <row r="278" spans="1:30" ht="13.5" customHeight="1">
      <c r="A278" s="161"/>
      <c r="B278" s="162"/>
      <c r="C278" s="162"/>
      <c r="D278" s="162"/>
      <c r="E278" s="162"/>
      <c r="F278" s="165"/>
      <c r="G278" s="166"/>
      <c r="H278" s="162"/>
      <c r="I278" s="179"/>
      <c r="J278" s="167"/>
      <c r="K278" s="162"/>
      <c r="L278" s="163"/>
      <c r="M278" s="169"/>
      <c r="N278" s="164"/>
      <c r="O278" s="286"/>
      <c r="P278" s="164"/>
      <c r="Q278" s="170"/>
      <c r="R278" s="277"/>
    </row>
    <row r="279" spans="1:30" ht="15" customHeight="1">
      <c r="A279" s="161"/>
      <c r="B279" s="162"/>
      <c r="C279" s="162"/>
      <c r="D279" s="162"/>
      <c r="E279" s="162"/>
      <c r="F279" s="165"/>
      <c r="G279" s="166"/>
      <c r="H279" s="162"/>
      <c r="I279" s="179"/>
      <c r="J279" s="167"/>
      <c r="K279" s="162"/>
      <c r="L279" s="163"/>
      <c r="M279" s="169"/>
      <c r="N279" s="164"/>
      <c r="O279" s="286"/>
      <c r="P279" s="164"/>
      <c r="Q279" s="170"/>
      <c r="R279" s="277"/>
    </row>
    <row r="280" spans="1:30" ht="15.75" customHeight="1">
      <c r="A280" s="161"/>
      <c r="B280" s="162"/>
      <c r="C280" s="162"/>
      <c r="D280" s="162"/>
      <c r="E280" s="162"/>
      <c r="F280" s="165"/>
      <c r="G280" s="166"/>
      <c r="H280" s="162"/>
      <c r="I280" s="179"/>
      <c r="J280" s="167"/>
      <c r="K280" s="162"/>
      <c r="L280" s="163"/>
      <c r="M280" s="169"/>
      <c r="N280" s="164"/>
      <c r="O280" s="286"/>
      <c r="P280" s="164"/>
      <c r="Q280" s="170"/>
      <c r="R280" s="277"/>
    </row>
    <row r="281" spans="1:30" ht="16.5" customHeight="1">
      <c r="A281" s="161"/>
      <c r="B281" s="162"/>
      <c r="C281" s="162"/>
      <c r="D281" s="162"/>
      <c r="E281" s="162"/>
      <c r="F281" s="165"/>
      <c r="G281" s="166"/>
      <c r="H281" s="162"/>
      <c r="I281" s="179"/>
      <c r="J281" s="167"/>
      <c r="K281" s="162"/>
      <c r="L281" s="163"/>
      <c r="M281" s="169"/>
      <c r="N281" s="164"/>
      <c r="O281" s="286"/>
      <c r="P281" s="164"/>
      <c r="Q281" s="170"/>
      <c r="R281" s="277"/>
    </row>
    <row r="282" spans="1:30" ht="12.75" customHeight="1">
      <c r="A282" s="161"/>
      <c r="B282" s="162"/>
      <c r="C282" s="162"/>
      <c r="D282" s="162"/>
      <c r="E282" s="162"/>
      <c r="F282" s="165"/>
      <c r="G282" s="166"/>
      <c r="H282" s="162"/>
      <c r="I282" s="179"/>
      <c r="J282" s="167"/>
      <c r="K282" s="162"/>
      <c r="L282" s="163"/>
      <c r="M282" s="169"/>
      <c r="N282" s="164"/>
      <c r="O282" s="286"/>
      <c r="P282" s="164"/>
      <c r="Q282" s="170"/>
      <c r="R282" s="277"/>
    </row>
    <row r="283" spans="1:30" ht="15" customHeight="1">
      <c r="A283" s="161"/>
      <c r="B283" s="162"/>
      <c r="C283" s="162"/>
      <c r="D283" s="162"/>
      <c r="E283" s="162"/>
      <c r="F283" s="165"/>
      <c r="G283" s="166"/>
      <c r="H283" s="162"/>
      <c r="I283" s="179"/>
      <c r="J283" s="167"/>
      <c r="K283" s="162"/>
      <c r="L283" s="163"/>
      <c r="M283" s="169"/>
      <c r="N283" s="164"/>
      <c r="O283" s="286"/>
      <c r="P283" s="164"/>
      <c r="Q283" s="170"/>
      <c r="R283" s="277"/>
    </row>
    <row r="284" spans="1:30" ht="14.25" customHeight="1">
      <c r="A284" s="161"/>
      <c r="B284" s="162"/>
      <c r="C284" s="162"/>
      <c r="D284" s="162"/>
      <c r="E284" s="162"/>
      <c r="F284" s="165"/>
      <c r="G284" s="166"/>
      <c r="H284" s="162"/>
      <c r="I284" s="179"/>
      <c r="J284" s="167"/>
      <c r="K284" s="162"/>
      <c r="L284" s="163"/>
      <c r="M284" s="169"/>
      <c r="N284" s="164"/>
      <c r="O284" s="286"/>
      <c r="P284" s="164"/>
      <c r="Q284" s="170"/>
      <c r="R284" s="277"/>
    </row>
    <row r="285" spans="1:30" s="267" customFormat="1" ht="14.25" customHeight="1">
      <c r="A285" s="390"/>
      <c r="B285" s="157"/>
      <c r="C285" s="157"/>
      <c r="D285" s="157"/>
      <c r="E285" s="157"/>
      <c r="F285" s="157"/>
      <c r="G285" s="157"/>
      <c r="H285" s="157"/>
      <c r="I285" s="157"/>
      <c r="J285" s="157"/>
      <c r="K285" s="157"/>
      <c r="L285" s="157"/>
      <c r="M285" s="157"/>
      <c r="N285" s="157"/>
      <c r="P285" s="157"/>
      <c r="Q285" s="157"/>
      <c r="S285" s="157"/>
      <c r="T285" s="157"/>
      <c r="U285" s="157"/>
      <c r="V285" s="157"/>
      <c r="W285" s="157"/>
      <c r="X285" s="157"/>
      <c r="Y285" s="157"/>
      <c r="Z285" s="157"/>
      <c r="AA285" s="157"/>
      <c r="AB285" s="157"/>
      <c r="AC285" s="157"/>
      <c r="AD285" s="157"/>
    </row>
    <row r="303" spans="1:30" s="267" customFormat="1" ht="12.75" customHeight="1">
      <c r="A303" s="390"/>
      <c r="B303" s="157"/>
      <c r="C303" s="157"/>
      <c r="D303" s="157"/>
      <c r="E303" s="157"/>
      <c r="F303" s="157"/>
      <c r="G303" s="157"/>
      <c r="H303" s="157"/>
      <c r="I303" s="157"/>
      <c r="J303" s="157"/>
      <c r="K303" s="157"/>
      <c r="L303" s="157"/>
      <c r="M303" s="157"/>
      <c r="N303" s="157"/>
      <c r="P303" s="157"/>
      <c r="Q303" s="157"/>
      <c r="S303" s="157"/>
      <c r="T303" s="157"/>
      <c r="U303" s="157"/>
      <c r="V303" s="157"/>
      <c r="W303" s="157"/>
      <c r="X303" s="157"/>
      <c r="Y303" s="157"/>
      <c r="Z303" s="157"/>
      <c r="AA303" s="157"/>
      <c r="AB303" s="157"/>
      <c r="AC303" s="157"/>
      <c r="AD303" s="157"/>
    </row>
  </sheetData>
  <mergeCells count="148">
    <mergeCell ref="X18:AB18"/>
    <mergeCell ref="B20:H20"/>
    <mergeCell ref="A1:R2"/>
    <mergeCell ref="A3:R3"/>
    <mergeCell ref="B6:O6"/>
    <mergeCell ref="B8:J8"/>
    <mergeCell ref="B9:I9"/>
    <mergeCell ref="X13:Y13"/>
    <mergeCell ref="B21:F21"/>
    <mergeCell ref="B22:F22"/>
    <mergeCell ref="B23:F23"/>
    <mergeCell ref="B24:F24"/>
    <mergeCell ref="I26:J26"/>
    <mergeCell ref="B28:G28"/>
    <mergeCell ref="I14:J14"/>
    <mergeCell ref="B15:H15"/>
    <mergeCell ref="B16:G16"/>
    <mergeCell ref="I18:J18"/>
    <mergeCell ref="B38:G38"/>
    <mergeCell ref="I40:J40"/>
    <mergeCell ref="B48:H48"/>
    <mergeCell ref="B50:F50"/>
    <mergeCell ref="B51:F51"/>
    <mergeCell ref="I53:J53"/>
    <mergeCell ref="I30:J30"/>
    <mergeCell ref="B31:F31"/>
    <mergeCell ref="B32:F32"/>
    <mergeCell ref="B33:F33"/>
    <mergeCell ref="B34:F34"/>
    <mergeCell ref="I36:J36"/>
    <mergeCell ref="B63:F63"/>
    <mergeCell ref="B64:F64"/>
    <mergeCell ref="B65:F65"/>
    <mergeCell ref="B66:F66"/>
    <mergeCell ref="B68:F68"/>
    <mergeCell ref="B72:L72"/>
    <mergeCell ref="B54:G54"/>
    <mergeCell ref="I56:J56"/>
    <mergeCell ref="B59:I59"/>
    <mergeCell ref="B60:L60"/>
    <mergeCell ref="B61:F61"/>
    <mergeCell ref="B62:F62"/>
    <mergeCell ref="B79:F79"/>
    <mergeCell ref="B80:F80"/>
    <mergeCell ref="B90:H90"/>
    <mergeCell ref="B91:F91"/>
    <mergeCell ref="B92:F92"/>
    <mergeCell ref="B93:F93"/>
    <mergeCell ref="B73:F73"/>
    <mergeCell ref="B74:F74"/>
    <mergeCell ref="B75:F75"/>
    <mergeCell ref="B76:F76"/>
    <mergeCell ref="B77:F77"/>
    <mergeCell ref="B78:F78"/>
    <mergeCell ref="B100:F100"/>
    <mergeCell ref="B101:F101"/>
    <mergeCell ref="B102:F102"/>
    <mergeCell ref="B105:H105"/>
    <mergeCell ref="B106:H106"/>
    <mergeCell ref="B107:F107"/>
    <mergeCell ref="B94:F94"/>
    <mergeCell ref="B95:F95"/>
    <mergeCell ref="B96:F96"/>
    <mergeCell ref="B97:F97"/>
    <mergeCell ref="B98:F98"/>
    <mergeCell ref="B99:F99"/>
    <mergeCell ref="B114:F114"/>
    <mergeCell ref="I116:J116"/>
    <mergeCell ref="I118:L118"/>
    <mergeCell ref="B119:L119"/>
    <mergeCell ref="H120:L120"/>
    <mergeCell ref="L122:M122"/>
    <mergeCell ref="B108:F108"/>
    <mergeCell ref="B109:F109"/>
    <mergeCell ref="B110:F110"/>
    <mergeCell ref="B111:F111"/>
    <mergeCell ref="B112:F112"/>
    <mergeCell ref="B113:F113"/>
    <mergeCell ref="B135:E135"/>
    <mergeCell ref="B137:F137"/>
    <mergeCell ref="K139:L139"/>
    <mergeCell ref="L140:M140"/>
    <mergeCell ref="B142:O142"/>
    <mergeCell ref="B143:H143"/>
    <mergeCell ref="B128:O128"/>
    <mergeCell ref="B129:J129"/>
    <mergeCell ref="B130:E130"/>
    <mergeCell ref="B131:E131"/>
    <mergeCell ref="B133:E133"/>
    <mergeCell ref="B134:E134"/>
    <mergeCell ref="B151:E151"/>
    <mergeCell ref="B153:F153"/>
    <mergeCell ref="K155:L155"/>
    <mergeCell ref="L156:M156"/>
    <mergeCell ref="B144:J144"/>
    <mergeCell ref="B145:E145"/>
    <mergeCell ref="B146:J146"/>
    <mergeCell ref="B147:C147"/>
    <mergeCell ref="B149:D149"/>
    <mergeCell ref="B150:E150"/>
    <mergeCell ref="L171:M171"/>
    <mergeCell ref="B173:O173"/>
    <mergeCell ref="K179:L179"/>
    <mergeCell ref="L181:M181"/>
    <mergeCell ref="B183:O183"/>
    <mergeCell ref="B184:E184"/>
    <mergeCell ref="F184:H184"/>
    <mergeCell ref="L163:M163"/>
    <mergeCell ref="B167:O167"/>
    <mergeCell ref="B169:E169"/>
    <mergeCell ref="K170:L170"/>
    <mergeCell ref="B215:N216"/>
    <mergeCell ref="B217:E217"/>
    <mergeCell ref="B201:O201"/>
    <mergeCell ref="B203:E203"/>
    <mergeCell ref="L205:M205"/>
    <mergeCell ref="B208:O208"/>
    <mergeCell ref="B209:E209"/>
    <mergeCell ref="L188:M188"/>
    <mergeCell ref="B190:O190"/>
    <mergeCell ref="B191:F191"/>
    <mergeCell ref="B192:F192"/>
    <mergeCell ref="K194:L194"/>
    <mergeCell ref="L195:M195"/>
    <mergeCell ref="L247:M247"/>
    <mergeCell ref="N248:O248"/>
    <mergeCell ref="N249:O249"/>
    <mergeCell ref="A253:R254"/>
    <mergeCell ref="A260:R260"/>
    <mergeCell ref="B202:L202"/>
    <mergeCell ref="B244:G245"/>
    <mergeCell ref="B231:F231"/>
    <mergeCell ref="K233:L233"/>
    <mergeCell ref="L234:M234"/>
    <mergeCell ref="A242:A243"/>
    <mergeCell ref="B242:O243"/>
    <mergeCell ref="K246:L246"/>
    <mergeCell ref="K219:L219"/>
    <mergeCell ref="L220:M220"/>
    <mergeCell ref="B222:O222"/>
    <mergeCell ref="K225:L225"/>
    <mergeCell ref="L226:M226"/>
    <mergeCell ref="A228:A230"/>
    <mergeCell ref="B228:N230"/>
    <mergeCell ref="B210:G212"/>
    <mergeCell ref="K211:L211"/>
    <mergeCell ref="L212:M212"/>
    <mergeCell ref="A215:A216"/>
  </mergeCells>
  <pageMargins left="0.39370078740157483" right="0.47244094488188981" top="0.59055118110236227" bottom="0.39370078740157483" header="0.43307086614173229" footer="0.43307086614173229"/>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dimension ref="A1:AD300"/>
  <sheetViews>
    <sheetView tabSelected="1" view="pageBreakPreview" topLeftCell="A242" zoomScale="110" zoomScaleSheetLayoutView="110" workbookViewId="0">
      <selection activeCell="R245" sqref="R245"/>
    </sheetView>
  </sheetViews>
  <sheetFormatPr defaultRowHeight="16.5"/>
  <cols>
    <col min="1" max="1" width="4.5703125" style="720" customWidth="1"/>
    <col min="2" max="2" width="4.140625" style="683" customWidth="1"/>
    <col min="3" max="3" width="2.140625" style="683" customWidth="1"/>
    <col min="4" max="4" width="1" style="683" hidden="1" customWidth="1"/>
    <col min="5" max="5" width="8.7109375" style="683" customWidth="1"/>
    <col min="6" max="6" width="3.5703125" style="683" customWidth="1"/>
    <col min="7" max="7" width="2.7109375" style="683" customWidth="1"/>
    <col min="8" max="8" width="8" style="683" customWidth="1"/>
    <col min="9" max="9" width="2" style="683" customWidth="1"/>
    <col min="10" max="10" width="8" style="683" customWidth="1"/>
    <col min="11" max="11" width="2.7109375" style="683" customWidth="1"/>
    <col min="12" max="12" width="7.7109375" style="683" customWidth="1"/>
    <col min="13" max="13" width="3.28515625" style="683" customWidth="1"/>
    <col min="14" max="14" width="11.28515625" style="683" customWidth="1"/>
    <col min="15" max="15" width="3.85546875" style="742" customWidth="1"/>
    <col min="16" max="16" width="1.85546875" style="683" customWidth="1"/>
    <col min="17" max="17" width="2.85546875" style="683" customWidth="1"/>
    <col min="18" max="18" width="19" style="749" customWidth="1"/>
    <col min="19" max="19" width="9.140625" style="683"/>
    <col min="20" max="20" width="20.140625" style="683" customWidth="1"/>
    <col min="21" max="21" width="19.28515625" style="683" customWidth="1"/>
    <col min="22" max="23" width="9.140625" style="683"/>
    <col min="24" max="24" width="22.28515625" style="683" customWidth="1"/>
    <col min="25" max="16384" width="9.140625" style="683"/>
  </cols>
  <sheetData>
    <row r="1" spans="1:30" s="157" customFormat="1" ht="25.5" customHeight="1">
      <c r="A1" s="1057" t="s">
        <v>653</v>
      </c>
      <c r="B1" s="1057"/>
      <c r="C1" s="1057"/>
      <c r="D1" s="1057"/>
      <c r="E1" s="1057"/>
      <c r="F1" s="1057"/>
      <c r="G1" s="1057"/>
      <c r="H1" s="1057"/>
      <c r="I1" s="1057"/>
      <c r="J1" s="1057"/>
      <c r="K1" s="1057"/>
      <c r="L1" s="1057"/>
      <c r="M1" s="1057"/>
      <c r="N1" s="1057"/>
      <c r="O1" s="1057"/>
      <c r="P1" s="1057"/>
      <c r="Q1" s="1057"/>
      <c r="R1" s="1057"/>
    </row>
    <row r="2" spans="1:30" s="157" customFormat="1" ht="14.25" customHeight="1">
      <c r="A2" s="1057"/>
      <c r="B2" s="1057"/>
      <c r="C2" s="1057"/>
      <c r="D2" s="1057"/>
      <c r="E2" s="1057"/>
      <c r="F2" s="1057"/>
      <c r="G2" s="1057"/>
      <c r="H2" s="1057"/>
      <c r="I2" s="1057"/>
      <c r="J2" s="1057"/>
      <c r="K2" s="1057"/>
      <c r="L2" s="1057"/>
      <c r="M2" s="1057"/>
      <c r="N2" s="1057"/>
      <c r="O2" s="1057"/>
      <c r="P2" s="1057"/>
      <c r="Q2" s="1057"/>
      <c r="R2" s="1057"/>
    </row>
    <row r="3" spans="1:30" s="159" customFormat="1" ht="28.5" customHeight="1">
      <c r="A3" s="1058" t="s">
        <v>654</v>
      </c>
      <c r="B3" s="1058"/>
      <c r="C3" s="1058"/>
      <c r="D3" s="1058"/>
      <c r="E3" s="1058"/>
      <c r="F3" s="1058"/>
      <c r="G3" s="1058"/>
      <c r="H3" s="1058"/>
      <c r="I3" s="1058"/>
      <c r="J3" s="1058"/>
      <c r="K3" s="1058"/>
      <c r="L3" s="1058"/>
      <c r="M3" s="1058"/>
      <c r="N3" s="1058"/>
      <c r="O3" s="1058"/>
      <c r="P3" s="1058"/>
      <c r="Q3" s="1058"/>
      <c r="R3" s="1058"/>
    </row>
    <row r="4" spans="1:30" s="159" customFormat="1" ht="14.25" customHeight="1">
      <c r="A4" s="782"/>
      <c r="B4" s="390"/>
      <c r="C4" s="783"/>
      <c r="D4" s="783"/>
      <c r="E4" s="783"/>
      <c r="F4" s="783"/>
      <c r="G4" s="783"/>
      <c r="H4" s="783"/>
      <c r="I4" s="783"/>
      <c r="J4" s="783"/>
      <c r="K4" s="783"/>
      <c r="L4" s="783"/>
      <c r="M4" s="783"/>
      <c r="N4" s="783"/>
      <c r="O4" s="783"/>
      <c r="P4" s="783"/>
      <c r="Q4" s="783"/>
      <c r="R4" s="782"/>
    </row>
    <row r="5" spans="1:30" s="157" customFormat="1" ht="44.25" customHeight="1">
      <c r="A5" s="693" t="s">
        <v>608</v>
      </c>
      <c r="B5" s="1052" t="s">
        <v>578</v>
      </c>
      <c r="C5" s="1052"/>
      <c r="D5" s="1052"/>
      <c r="E5" s="1052"/>
      <c r="F5" s="1052"/>
      <c r="G5" s="1052"/>
      <c r="H5" s="1052"/>
      <c r="I5" s="1052"/>
      <c r="J5" s="1052"/>
      <c r="K5" s="1052"/>
      <c r="L5" s="1052"/>
      <c r="M5" s="1052"/>
      <c r="N5" s="1052"/>
      <c r="O5" s="1052"/>
      <c r="P5" s="185"/>
      <c r="Q5" s="185"/>
      <c r="R5" s="244"/>
    </row>
    <row r="6" spans="1:30" s="43" customFormat="1" ht="31.5" customHeight="1">
      <c r="A6" s="784"/>
      <c r="B6" s="998" t="s">
        <v>577</v>
      </c>
      <c r="C6" s="998"/>
      <c r="D6" s="998"/>
      <c r="E6" s="998"/>
      <c r="F6" s="998"/>
      <c r="G6" s="998"/>
      <c r="H6" s="998"/>
      <c r="I6" s="998"/>
      <c r="J6" s="998"/>
      <c r="K6" s="998"/>
      <c r="L6" s="998"/>
      <c r="M6" s="998"/>
      <c r="N6" s="998"/>
      <c r="O6" s="998"/>
      <c r="P6" s="998"/>
      <c r="Q6" s="998"/>
      <c r="R6" s="716"/>
    </row>
    <row r="7" spans="1:30" s="43" customFormat="1" ht="15.75">
      <c r="A7" s="784"/>
      <c r="B7" s="998" t="s">
        <v>580</v>
      </c>
      <c r="C7" s="998"/>
      <c r="D7" s="998"/>
      <c r="E7" s="998"/>
      <c r="F7" s="998"/>
      <c r="G7" s="998"/>
      <c r="H7" s="998"/>
      <c r="I7" s="998"/>
      <c r="J7" s="998"/>
      <c r="K7" s="998"/>
      <c r="L7" s="998"/>
      <c r="M7" s="998"/>
      <c r="N7" s="998"/>
      <c r="O7" s="998"/>
      <c r="P7" s="998"/>
      <c r="Q7" s="998"/>
      <c r="R7" s="716"/>
    </row>
    <row r="8" spans="1:30" s="157" customFormat="1" ht="13.5" customHeight="1">
      <c r="A8" s="785"/>
      <c r="B8" s="1049" t="s">
        <v>593</v>
      </c>
      <c r="C8" s="1049"/>
      <c r="D8" s="1049"/>
      <c r="E8" s="1049"/>
      <c r="F8" s="1049"/>
      <c r="G8" s="1049"/>
      <c r="H8" s="1049"/>
      <c r="I8" s="1049"/>
      <c r="J8" s="1049"/>
      <c r="K8" s="1049"/>
      <c r="L8" s="1049"/>
      <c r="M8" s="246"/>
      <c r="N8" s="246"/>
      <c r="O8" s="708"/>
      <c r="P8" s="185"/>
      <c r="Q8" s="185"/>
      <c r="R8" s="244"/>
      <c r="X8" s="173"/>
      <c r="Y8" s="714"/>
      <c r="Z8" s="714"/>
      <c r="AA8" s="714"/>
      <c r="AB8" s="714"/>
      <c r="AC8" s="172"/>
      <c r="AD8" s="714"/>
    </row>
    <row r="9" spans="1:30" s="157" customFormat="1">
      <c r="A9" s="493"/>
      <c r="B9" s="1035" t="s">
        <v>590</v>
      </c>
      <c r="C9" s="1035"/>
      <c r="D9" s="1035"/>
      <c r="E9" s="1035"/>
      <c r="F9" s="1035"/>
      <c r="G9" s="1035"/>
      <c r="H9" s="236"/>
      <c r="I9" s="716"/>
      <c r="J9" s="233"/>
      <c r="K9" s="716"/>
      <c r="L9" s="236"/>
      <c r="M9" s="701"/>
      <c r="N9" s="702"/>
      <c r="O9" s="715"/>
      <c r="P9" s="185"/>
      <c r="Q9" s="185"/>
      <c r="R9" s="715"/>
    </row>
    <row r="10" spans="1:30" s="157" customFormat="1">
      <c r="A10" s="493"/>
      <c r="B10" s="1035" t="s">
        <v>589</v>
      </c>
      <c r="C10" s="1035"/>
      <c r="D10" s="1035"/>
      <c r="E10" s="1035"/>
      <c r="F10" s="1035"/>
      <c r="G10" s="1035"/>
      <c r="H10" s="236">
        <v>1</v>
      </c>
      <c r="I10" s="716" t="s">
        <v>1</v>
      </c>
      <c r="J10" s="233">
        <v>166.8</v>
      </c>
      <c r="K10" s="716" t="s">
        <v>1</v>
      </c>
      <c r="L10" s="236">
        <v>6</v>
      </c>
      <c r="M10" s="701" t="s">
        <v>0</v>
      </c>
      <c r="N10" s="702">
        <f>L10*J10*H10</f>
        <v>1000.8000000000001</v>
      </c>
      <c r="O10" s="715" t="s">
        <v>13</v>
      </c>
      <c r="P10" s="185"/>
      <c r="Q10" s="185"/>
      <c r="R10" s="715"/>
    </row>
    <row r="11" spans="1:30" s="157" customFormat="1">
      <c r="A11" s="493"/>
      <c r="B11" s="1035" t="s">
        <v>652</v>
      </c>
      <c r="C11" s="1035"/>
      <c r="D11" s="1035"/>
      <c r="E11" s="1035"/>
      <c r="F11" s="1035"/>
      <c r="G11" s="1035"/>
      <c r="H11" s="236">
        <v>1</v>
      </c>
      <c r="I11" s="716" t="s">
        <v>1</v>
      </c>
      <c r="J11" s="233">
        <v>166.8</v>
      </c>
      <c r="K11" s="716" t="s">
        <v>1</v>
      </c>
      <c r="L11" s="236">
        <v>6</v>
      </c>
      <c r="M11" s="701" t="s">
        <v>0</v>
      </c>
      <c r="N11" s="702">
        <f>L11*J11*H11</f>
        <v>1000.8000000000001</v>
      </c>
      <c r="O11" s="715" t="s">
        <v>13</v>
      </c>
      <c r="P11" s="185"/>
      <c r="Q11" s="185"/>
      <c r="R11" s="715"/>
    </row>
    <row r="12" spans="1:30" s="157" customFormat="1" ht="13.5" customHeight="1">
      <c r="A12" s="493"/>
      <c r="B12" s="777"/>
      <c r="C12" s="778"/>
      <c r="D12" s="185"/>
      <c r="E12" s="185"/>
      <c r="F12" s="716"/>
      <c r="G12" s="716"/>
      <c r="H12" s="236"/>
      <c r="I12" s="716"/>
      <c r="J12" s="233"/>
      <c r="K12" s="698"/>
      <c r="L12" s="233" t="s">
        <v>8</v>
      </c>
      <c r="M12" s="701" t="s">
        <v>0</v>
      </c>
      <c r="N12" s="779">
        <f>SUM(N10:N11)</f>
        <v>2001.6000000000001</v>
      </c>
      <c r="O12" s="718" t="s">
        <v>13</v>
      </c>
      <c r="P12" s="185"/>
      <c r="Q12" s="185"/>
      <c r="R12" s="715"/>
      <c r="X12" s="1050"/>
      <c r="Y12" s="1050"/>
      <c r="Z12" s="714"/>
      <c r="AA12" s="714"/>
      <c r="AB12" s="714"/>
      <c r="AC12" s="172"/>
      <c r="AD12" s="714"/>
    </row>
    <row r="13" spans="1:30" s="157" customFormat="1" ht="13.5" customHeight="1">
      <c r="A13" s="786"/>
      <c r="B13" s="200"/>
      <c r="C13" s="200"/>
      <c r="D13" s="200"/>
      <c r="E13" s="185"/>
      <c r="F13" s="780" t="s">
        <v>350</v>
      </c>
      <c r="G13" s="781" t="s">
        <v>11</v>
      </c>
      <c r="H13" s="781">
        <v>1.58</v>
      </c>
      <c r="I13" s="1044" t="s">
        <v>353</v>
      </c>
      <c r="J13" s="1045"/>
      <c r="K13" s="185"/>
      <c r="L13" s="185"/>
      <c r="M13" s="698" t="s">
        <v>0</v>
      </c>
      <c r="N13" s="781">
        <f>H13*N12</f>
        <v>3162.5280000000002</v>
      </c>
      <c r="O13" s="700" t="s">
        <v>100</v>
      </c>
      <c r="P13" s="185"/>
      <c r="Q13" s="185"/>
      <c r="R13" s="244"/>
      <c r="X13" s="173"/>
      <c r="Y13" s="714"/>
      <c r="Z13" s="714"/>
      <c r="AA13" s="714"/>
      <c r="AB13" s="714"/>
      <c r="AC13" s="172"/>
      <c r="AD13" s="714"/>
    </row>
    <row r="14" spans="1:30" s="157" customFormat="1">
      <c r="A14" s="493"/>
      <c r="B14" s="1038" t="s">
        <v>591</v>
      </c>
      <c r="C14" s="1038"/>
      <c r="D14" s="1038"/>
      <c r="E14" s="1038"/>
      <c r="F14" s="1038"/>
      <c r="G14" s="1038"/>
      <c r="H14" s="688"/>
      <c r="I14" s="688"/>
      <c r="J14" s="688"/>
      <c r="K14" s="716"/>
      <c r="L14" s="233"/>
      <c r="M14" s="701"/>
      <c r="N14" s="702"/>
      <c r="O14" s="776"/>
      <c r="P14" s="185"/>
      <c r="Q14" s="185"/>
      <c r="R14" s="715"/>
      <c r="U14" s="168"/>
      <c r="V14" s="168"/>
      <c r="W14" s="168"/>
      <c r="X14" s="173"/>
      <c r="Y14" s="714"/>
      <c r="Z14" s="714"/>
      <c r="AA14" s="714"/>
      <c r="AB14" s="714"/>
      <c r="AC14" s="172"/>
      <c r="AD14" s="714"/>
    </row>
    <row r="15" spans="1:30" s="157" customFormat="1">
      <c r="A15" s="493"/>
      <c r="B15" s="1035" t="s">
        <v>595</v>
      </c>
      <c r="C15" s="1035"/>
      <c r="D15" s="1035"/>
      <c r="E15" s="1035"/>
      <c r="F15" s="1035"/>
      <c r="G15" s="1035"/>
      <c r="H15" s="236">
        <v>1</v>
      </c>
      <c r="I15" s="716" t="s">
        <v>1</v>
      </c>
      <c r="J15" s="233">
        <v>159</v>
      </c>
      <c r="K15" s="716" t="s">
        <v>1</v>
      </c>
      <c r="L15" s="236">
        <v>3</v>
      </c>
      <c r="M15" s="701" t="s">
        <v>0</v>
      </c>
      <c r="N15" s="702">
        <f t="shared" ref="N15:N16" si="0">L15*J15*H15</f>
        <v>477</v>
      </c>
      <c r="O15" s="715" t="s">
        <v>13</v>
      </c>
      <c r="P15" s="185"/>
      <c r="Q15" s="185"/>
      <c r="R15" s="715"/>
    </row>
    <row r="16" spans="1:30" s="157" customFormat="1">
      <c r="A16" s="493"/>
      <c r="B16" s="1035" t="s">
        <v>588</v>
      </c>
      <c r="C16" s="1035"/>
      <c r="D16" s="1035"/>
      <c r="E16" s="1035"/>
      <c r="F16" s="1035"/>
      <c r="G16" s="1035"/>
      <c r="H16" s="236">
        <v>1</v>
      </c>
      <c r="I16" s="716" t="s">
        <v>1</v>
      </c>
      <c r="J16" s="233">
        <f>J15*1</f>
        <v>159</v>
      </c>
      <c r="K16" s="716" t="s">
        <v>1</v>
      </c>
      <c r="L16" s="236">
        <v>3</v>
      </c>
      <c r="M16" s="701" t="s">
        <v>0</v>
      </c>
      <c r="N16" s="702">
        <f t="shared" si="0"/>
        <v>477</v>
      </c>
      <c r="O16" s="715" t="s">
        <v>13</v>
      </c>
      <c r="P16" s="185"/>
      <c r="Q16" s="185"/>
      <c r="R16" s="715"/>
    </row>
    <row r="17" spans="1:30" s="157" customFormat="1">
      <c r="A17" s="493"/>
      <c r="B17" s="1035" t="s">
        <v>589</v>
      </c>
      <c r="C17" s="1035"/>
      <c r="D17" s="1035"/>
      <c r="E17" s="1035"/>
      <c r="F17" s="1035"/>
      <c r="G17" s="1035"/>
      <c r="H17" s="236">
        <v>1</v>
      </c>
      <c r="I17" s="716" t="s">
        <v>1</v>
      </c>
      <c r="J17" s="233">
        <f>J15*1</f>
        <v>159</v>
      </c>
      <c r="K17" s="716" t="s">
        <v>1</v>
      </c>
      <c r="L17" s="236">
        <v>3</v>
      </c>
      <c r="M17" s="701" t="s">
        <v>0</v>
      </c>
      <c r="N17" s="702">
        <f>L17*J17*H17</f>
        <v>477</v>
      </c>
      <c r="O17" s="715" t="s">
        <v>13</v>
      </c>
      <c r="P17" s="185"/>
      <c r="Q17" s="185"/>
      <c r="R17" s="715"/>
    </row>
    <row r="18" spans="1:30" s="157" customFormat="1">
      <c r="A18" s="493"/>
      <c r="B18" s="777"/>
      <c r="C18" s="778"/>
      <c r="D18" s="185"/>
      <c r="E18" s="185"/>
      <c r="F18" s="716"/>
      <c r="G18" s="716"/>
      <c r="H18" s="236"/>
      <c r="I18" s="716"/>
      <c r="J18" s="233"/>
      <c r="K18" s="698"/>
      <c r="L18" s="233" t="s">
        <v>8</v>
      </c>
      <c r="M18" s="701" t="s">
        <v>0</v>
      </c>
      <c r="N18" s="779">
        <f>SUM(N15:N17)</f>
        <v>1431</v>
      </c>
      <c r="O18" s="718" t="s">
        <v>13</v>
      </c>
      <c r="P18" s="185"/>
      <c r="Q18" s="185"/>
      <c r="R18" s="715"/>
      <c r="U18" s="168"/>
      <c r="V18" s="168"/>
      <c r="W18" s="168"/>
      <c r="X18" s="172"/>
      <c r="Y18" s="714"/>
      <c r="Z18" s="714"/>
      <c r="AA18" s="714"/>
      <c r="AB18" s="174"/>
      <c r="AC18" s="172"/>
      <c r="AD18" s="714"/>
    </row>
    <row r="19" spans="1:30" s="157" customFormat="1" ht="13.5" customHeight="1">
      <c r="A19" s="493"/>
      <c r="B19" s="200"/>
      <c r="C19" s="200"/>
      <c r="D19" s="200"/>
      <c r="E19" s="185"/>
      <c r="F19" s="780" t="s">
        <v>350</v>
      </c>
      <c r="G19" s="781" t="s">
        <v>11</v>
      </c>
      <c r="H19" s="781">
        <v>0.88</v>
      </c>
      <c r="I19" s="1044" t="s">
        <v>353</v>
      </c>
      <c r="J19" s="1045"/>
      <c r="K19" s="185"/>
      <c r="L19" s="185"/>
      <c r="M19" s="698" t="s">
        <v>0</v>
      </c>
      <c r="N19" s="781">
        <f>H19*N18</f>
        <v>1259.28</v>
      </c>
      <c r="O19" s="700" t="s">
        <v>100</v>
      </c>
      <c r="P19" s="185"/>
      <c r="Q19" s="185"/>
      <c r="R19" s="715"/>
      <c r="U19" s="168"/>
      <c r="V19" s="168"/>
      <c r="W19" s="168"/>
      <c r="X19" s="1029"/>
      <c r="Y19" s="1029"/>
      <c r="Z19" s="1029"/>
      <c r="AA19" s="1029"/>
      <c r="AB19" s="1029"/>
      <c r="AC19" s="172"/>
      <c r="AD19" s="714"/>
    </row>
    <row r="20" spans="1:30" s="157" customFormat="1">
      <c r="A20" s="493"/>
      <c r="B20" s="1048" t="s">
        <v>592</v>
      </c>
      <c r="C20" s="1048"/>
      <c r="D20" s="1048"/>
      <c r="E20" s="1048"/>
      <c r="F20" s="1048"/>
      <c r="G20" s="1048"/>
      <c r="H20" s="1048"/>
      <c r="I20" s="1048"/>
      <c r="J20" s="1048"/>
      <c r="K20" s="716"/>
      <c r="L20" s="233"/>
      <c r="M20" s="701"/>
      <c r="N20" s="702"/>
      <c r="O20" s="776"/>
      <c r="P20" s="185"/>
      <c r="Q20" s="185"/>
      <c r="R20" s="715"/>
      <c r="U20" s="168"/>
      <c r="V20" s="168"/>
      <c r="W20" s="168"/>
      <c r="X20" s="173"/>
      <c r="Y20" s="714"/>
      <c r="Z20" s="714"/>
      <c r="AA20" s="714"/>
      <c r="AB20" s="714"/>
      <c r="AC20" s="172"/>
      <c r="AD20" s="714"/>
    </row>
    <row r="21" spans="1:30" s="157" customFormat="1">
      <c r="A21" s="493"/>
      <c r="B21" s="1035" t="s">
        <v>599</v>
      </c>
      <c r="C21" s="1035"/>
      <c r="D21" s="1035"/>
      <c r="E21" s="1035"/>
      <c r="F21" s="236">
        <v>1</v>
      </c>
      <c r="G21" s="716" t="s">
        <v>1</v>
      </c>
      <c r="H21" s="236">
        <v>2</v>
      </c>
      <c r="I21" s="716" t="s">
        <v>1</v>
      </c>
      <c r="J21" s="233">
        <v>7.1</v>
      </c>
      <c r="K21" s="716" t="s">
        <v>1</v>
      </c>
      <c r="L21" s="236">
        <v>118</v>
      </c>
      <c r="M21" s="701" t="s">
        <v>0</v>
      </c>
      <c r="N21" s="702">
        <f>L21*J21*H21*F21</f>
        <v>1675.6</v>
      </c>
      <c r="O21" s="776" t="s">
        <v>13</v>
      </c>
      <c r="P21" s="185"/>
      <c r="Q21" s="185"/>
      <c r="R21" s="715"/>
      <c r="U21" s="168"/>
      <c r="V21" s="168"/>
      <c r="W21" s="168"/>
      <c r="X21" s="173"/>
      <c r="Y21" s="714"/>
      <c r="Z21" s="714"/>
      <c r="AA21" s="714"/>
      <c r="AB21" s="714"/>
      <c r="AC21" s="172"/>
      <c r="AD21" s="714"/>
    </row>
    <row r="22" spans="1:30" s="157" customFormat="1">
      <c r="A22" s="493"/>
      <c r="C22" s="713"/>
      <c r="D22" s="713"/>
      <c r="E22" s="713"/>
      <c r="F22" s="236">
        <v>1</v>
      </c>
      <c r="G22" s="716" t="s">
        <v>1</v>
      </c>
      <c r="H22" s="236">
        <v>2</v>
      </c>
      <c r="I22" s="716" t="s">
        <v>1</v>
      </c>
      <c r="J22" s="233">
        <v>11.7</v>
      </c>
      <c r="K22" s="716" t="s">
        <v>1</v>
      </c>
      <c r="L22" s="236">
        <v>72</v>
      </c>
      <c r="M22" s="701" t="s">
        <v>0</v>
      </c>
      <c r="N22" s="702">
        <f>L22*J22*H22*F22</f>
        <v>1684.8</v>
      </c>
      <c r="O22" s="776" t="s">
        <v>13</v>
      </c>
      <c r="P22" s="185"/>
      <c r="Q22" s="185"/>
      <c r="R22" s="715"/>
      <c r="U22" s="168"/>
      <c r="V22" s="168"/>
      <c r="W22" s="168"/>
      <c r="X22" s="173"/>
      <c r="Y22" s="714"/>
      <c r="Z22" s="714"/>
      <c r="AA22" s="714"/>
      <c r="AB22" s="714"/>
      <c r="AC22" s="172"/>
      <c r="AD22" s="714"/>
    </row>
    <row r="23" spans="1:30" s="157" customFormat="1">
      <c r="A23" s="493"/>
      <c r="B23" s="1035" t="s">
        <v>600</v>
      </c>
      <c r="C23" s="1035"/>
      <c r="D23" s="1035"/>
      <c r="E23" s="1035"/>
      <c r="F23" s="713"/>
      <c r="G23" s="713"/>
      <c r="H23" s="236">
        <v>2</v>
      </c>
      <c r="I23" s="716" t="s">
        <v>1</v>
      </c>
      <c r="J23" s="233">
        <v>2.7</v>
      </c>
      <c r="K23" s="716" t="s">
        <v>1</v>
      </c>
      <c r="L23" s="236">
        <v>48</v>
      </c>
      <c r="M23" s="701" t="s">
        <v>0</v>
      </c>
      <c r="N23" s="702">
        <f t="shared" ref="N23:N28" si="1">L23*J23*H23</f>
        <v>259.20000000000005</v>
      </c>
      <c r="O23" s="776" t="s">
        <v>13</v>
      </c>
      <c r="P23" s="185"/>
      <c r="Q23" s="185"/>
      <c r="R23" s="715"/>
      <c r="U23" s="168"/>
      <c r="V23" s="168"/>
      <c r="W23" s="168"/>
      <c r="X23" s="173"/>
      <c r="Y23" s="714"/>
      <c r="Z23" s="714"/>
      <c r="AA23" s="714"/>
      <c r="AB23" s="714"/>
      <c r="AC23" s="172"/>
      <c r="AD23" s="714"/>
    </row>
    <row r="24" spans="1:30" s="157" customFormat="1">
      <c r="A24" s="493"/>
      <c r="C24" s="713"/>
      <c r="D24" s="713"/>
      <c r="E24" s="713"/>
      <c r="F24" s="713"/>
      <c r="G24" s="713"/>
      <c r="H24" s="236">
        <v>2</v>
      </c>
      <c r="I24" s="716" t="s">
        <v>1</v>
      </c>
      <c r="J24" s="233">
        <v>4.5999999999999996</v>
      </c>
      <c r="K24" s="716" t="s">
        <v>1</v>
      </c>
      <c r="L24" s="236">
        <v>28</v>
      </c>
      <c r="M24" s="701" t="s">
        <v>0</v>
      </c>
      <c r="N24" s="702">
        <f t="shared" si="1"/>
        <v>257.59999999999997</v>
      </c>
      <c r="O24" s="776" t="s">
        <v>13</v>
      </c>
      <c r="P24" s="185"/>
      <c r="Q24" s="185"/>
      <c r="R24" s="715"/>
      <c r="U24" s="168"/>
      <c r="V24" s="168"/>
      <c r="W24" s="168"/>
      <c r="X24" s="173"/>
      <c r="Y24" s="714"/>
      <c r="Z24" s="714"/>
      <c r="AA24" s="714"/>
      <c r="AB24" s="714"/>
      <c r="AC24" s="172"/>
      <c r="AD24" s="714"/>
    </row>
    <row r="25" spans="1:30" s="157" customFormat="1">
      <c r="A25" s="493"/>
      <c r="B25" s="777" t="s">
        <v>597</v>
      </c>
      <c r="C25" s="713"/>
      <c r="D25" s="713"/>
      <c r="E25" s="713"/>
      <c r="F25" s="713"/>
      <c r="G25" s="713"/>
      <c r="H25" s="236">
        <v>1</v>
      </c>
      <c r="I25" s="716" t="s">
        <v>1</v>
      </c>
      <c r="J25" s="233">
        <v>1.2</v>
      </c>
      <c r="K25" s="716" t="s">
        <v>1</v>
      </c>
      <c r="L25" s="236">
        <v>73</v>
      </c>
      <c r="M25" s="701" t="s">
        <v>0</v>
      </c>
      <c r="N25" s="702">
        <f t="shared" si="1"/>
        <v>87.6</v>
      </c>
      <c r="O25" s="776" t="s">
        <v>13</v>
      </c>
      <c r="P25" s="185"/>
      <c r="Q25" s="185"/>
      <c r="R25" s="715"/>
      <c r="U25" s="168"/>
      <c r="V25" s="168"/>
      <c r="W25" s="168"/>
      <c r="X25" s="173"/>
      <c r="Y25" s="714"/>
      <c r="Z25" s="714"/>
      <c r="AA25" s="714"/>
      <c r="AB25" s="714"/>
      <c r="AC25" s="172"/>
      <c r="AD25" s="714"/>
    </row>
    <row r="26" spans="1:30" s="157" customFormat="1">
      <c r="A26" s="493"/>
      <c r="B26" s="777"/>
      <c r="C26" s="713"/>
      <c r="D26" s="713"/>
      <c r="E26" s="713"/>
      <c r="F26" s="713"/>
      <c r="G26" s="713"/>
      <c r="H26" s="236">
        <v>1</v>
      </c>
      <c r="I26" s="716" t="s">
        <v>1</v>
      </c>
      <c r="J26" s="233">
        <v>7.2</v>
      </c>
      <c r="K26" s="716" t="s">
        <v>1</v>
      </c>
      <c r="L26" s="236">
        <v>13</v>
      </c>
      <c r="M26" s="701" t="s">
        <v>0</v>
      </c>
      <c r="N26" s="702">
        <f t="shared" si="1"/>
        <v>93.600000000000009</v>
      </c>
      <c r="O26" s="776" t="s">
        <v>13</v>
      </c>
      <c r="P26" s="185"/>
      <c r="Q26" s="185"/>
      <c r="R26" s="715"/>
      <c r="U26" s="168"/>
      <c r="V26" s="168"/>
      <c r="W26" s="168"/>
      <c r="X26" s="173"/>
      <c r="Y26" s="714"/>
      <c r="Z26" s="714"/>
      <c r="AA26" s="714"/>
      <c r="AB26" s="714"/>
      <c r="AC26" s="172"/>
      <c r="AD26" s="714"/>
    </row>
    <row r="27" spans="1:30" s="157" customFormat="1">
      <c r="A27" s="493"/>
      <c r="B27" s="185" t="s">
        <v>603</v>
      </c>
      <c r="G27" s="713"/>
      <c r="H27" s="236">
        <v>2</v>
      </c>
      <c r="I27" s="716" t="s">
        <v>1</v>
      </c>
      <c r="J27" s="233">
        <v>3.5</v>
      </c>
      <c r="K27" s="716" t="s">
        <v>1</v>
      </c>
      <c r="L27" s="236">
        <v>95</v>
      </c>
      <c r="M27" s="701" t="s">
        <v>0</v>
      </c>
      <c r="N27" s="702">
        <f t="shared" si="1"/>
        <v>665</v>
      </c>
      <c r="O27" s="776" t="s">
        <v>13</v>
      </c>
      <c r="P27" s="185"/>
      <c r="Q27" s="185"/>
      <c r="R27" s="715"/>
      <c r="U27" s="168"/>
      <c r="V27" s="168"/>
      <c r="W27" s="168"/>
      <c r="X27" s="173"/>
      <c r="Y27" s="714"/>
      <c r="Z27" s="714"/>
      <c r="AA27" s="714"/>
      <c r="AB27" s="714"/>
      <c r="AC27" s="172"/>
      <c r="AD27" s="714"/>
    </row>
    <row r="28" spans="1:30" s="157" customFormat="1">
      <c r="A28" s="493"/>
      <c r="B28" s="185"/>
      <c r="G28" s="713"/>
      <c r="H28" s="236">
        <v>2</v>
      </c>
      <c r="I28" s="716" t="s">
        <v>1</v>
      </c>
      <c r="J28" s="233">
        <v>9.4</v>
      </c>
      <c r="K28" s="716" t="s">
        <v>1</v>
      </c>
      <c r="L28" s="236">
        <v>36</v>
      </c>
      <c r="M28" s="701" t="s">
        <v>0</v>
      </c>
      <c r="N28" s="702">
        <f t="shared" si="1"/>
        <v>676.80000000000007</v>
      </c>
      <c r="O28" s="776" t="s">
        <v>13</v>
      </c>
      <c r="P28" s="185"/>
      <c r="Q28" s="185"/>
      <c r="R28" s="715"/>
      <c r="U28" s="168"/>
      <c r="V28" s="168"/>
      <c r="W28" s="168"/>
      <c r="X28" s="173"/>
      <c r="Y28" s="714"/>
      <c r="Z28" s="714"/>
      <c r="AA28" s="714"/>
      <c r="AB28" s="714"/>
      <c r="AC28" s="172"/>
      <c r="AD28" s="714"/>
    </row>
    <row r="29" spans="1:30" s="157" customFormat="1">
      <c r="A29" s="493"/>
      <c r="B29" s="185" t="s">
        <v>468</v>
      </c>
      <c r="F29" s="236">
        <v>3</v>
      </c>
      <c r="G29" s="716" t="s">
        <v>1</v>
      </c>
      <c r="H29" s="236">
        <v>12</v>
      </c>
      <c r="I29" s="716" t="s">
        <v>1</v>
      </c>
      <c r="J29" s="233">
        <v>0.6</v>
      </c>
      <c r="K29" s="716" t="s">
        <v>1</v>
      </c>
      <c r="L29" s="236">
        <v>11</v>
      </c>
      <c r="M29" s="701" t="s">
        <v>0</v>
      </c>
      <c r="N29" s="702">
        <f>F29*L29*J29*H29</f>
        <v>237.60000000000002</v>
      </c>
      <c r="O29" s="776" t="s">
        <v>13</v>
      </c>
      <c r="P29" s="185"/>
      <c r="Q29" s="185"/>
      <c r="R29" s="715"/>
      <c r="U29" s="168"/>
      <c r="V29" s="168"/>
      <c r="W29" s="168"/>
      <c r="X29" s="173"/>
      <c r="Y29" s="714"/>
      <c r="Z29" s="714"/>
      <c r="AA29" s="714"/>
      <c r="AB29" s="714"/>
      <c r="AC29" s="172"/>
      <c r="AD29" s="714"/>
    </row>
    <row r="30" spans="1:30" s="157" customFormat="1">
      <c r="A30" s="493"/>
      <c r="B30" s="185"/>
      <c r="F30" s="236">
        <v>3</v>
      </c>
      <c r="G30" s="716" t="s">
        <v>1</v>
      </c>
      <c r="H30" s="236">
        <v>12</v>
      </c>
      <c r="I30" s="716" t="s">
        <v>1</v>
      </c>
      <c r="J30" s="233">
        <v>1</v>
      </c>
      <c r="K30" s="716" t="s">
        <v>1</v>
      </c>
      <c r="L30" s="236">
        <v>7</v>
      </c>
      <c r="M30" s="701" t="s">
        <v>0</v>
      </c>
      <c r="N30" s="702">
        <f>F30*L30*J30*H30</f>
        <v>252</v>
      </c>
      <c r="O30" s="776" t="s">
        <v>13</v>
      </c>
      <c r="P30" s="185"/>
      <c r="Q30" s="185"/>
      <c r="R30" s="715"/>
      <c r="U30" s="168"/>
      <c r="V30" s="168"/>
      <c r="W30" s="168"/>
      <c r="X30" s="173"/>
      <c r="Y30" s="714"/>
      <c r="Z30" s="714"/>
      <c r="AA30" s="714"/>
      <c r="AB30" s="714"/>
      <c r="AC30" s="172"/>
      <c r="AD30" s="714"/>
    </row>
    <row r="31" spans="1:30" s="157" customFormat="1">
      <c r="A31" s="493"/>
      <c r="B31" s="777"/>
      <c r="C31" s="778"/>
      <c r="D31" s="185"/>
      <c r="E31" s="185"/>
      <c r="F31" s="716"/>
      <c r="G31" s="716"/>
      <c r="H31" s="236"/>
      <c r="I31" s="716"/>
      <c r="J31" s="233"/>
      <c r="K31" s="698"/>
      <c r="L31" s="233" t="s">
        <v>8</v>
      </c>
      <c r="M31" s="701" t="s">
        <v>0</v>
      </c>
      <c r="N31" s="779">
        <f>SUM(N21:N30)</f>
        <v>5889.8</v>
      </c>
      <c r="O31" s="718" t="s">
        <v>13</v>
      </c>
      <c r="P31" s="185"/>
      <c r="Q31" s="185"/>
      <c r="R31" s="715"/>
      <c r="U31" s="168"/>
      <c r="V31" s="168"/>
      <c r="W31" s="168"/>
      <c r="X31" s="172"/>
      <c r="Y31" s="714"/>
      <c r="Z31" s="714"/>
      <c r="AA31" s="714"/>
      <c r="AB31" s="174"/>
      <c r="AC31" s="172"/>
      <c r="AD31" s="714"/>
    </row>
    <row r="32" spans="1:30" s="157" customFormat="1" ht="13.5" customHeight="1">
      <c r="A32" s="493"/>
      <c r="B32" s="200"/>
      <c r="C32" s="200"/>
      <c r="D32" s="200"/>
      <c r="E32" s="185"/>
      <c r="F32" s="780" t="s">
        <v>350</v>
      </c>
      <c r="G32" s="781" t="s">
        <v>11</v>
      </c>
      <c r="H32" s="781">
        <v>0.62</v>
      </c>
      <c r="I32" s="1044" t="s">
        <v>353</v>
      </c>
      <c r="J32" s="1045"/>
      <c r="K32" s="185"/>
      <c r="L32" s="185"/>
      <c r="M32" s="698" t="s">
        <v>0</v>
      </c>
      <c r="N32" s="781">
        <f>H32*N31</f>
        <v>3651.6759999999999</v>
      </c>
      <c r="O32" s="700" t="s">
        <v>100</v>
      </c>
      <c r="P32" s="185"/>
      <c r="Q32" s="185"/>
      <c r="R32" s="715"/>
      <c r="U32" s="168"/>
      <c r="V32" s="168"/>
      <c r="W32" s="168"/>
      <c r="X32" s="1029"/>
      <c r="Y32" s="1029"/>
      <c r="Z32" s="1029"/>
      <c r="AA32" s="1029"/>
      <c r="AB32" s="1029"/>
      <c r="AC32" s="172"/>
      <c r="AD32" s="714"/>
    </row>
    <row r="33" spans="1:30" s="157" customFormat="1">
      <c r="A33" s="493"/>
      <c r="B33" s="185" t="s">
        <v>614</v>
      </c>
      <c r="G33" s="713"/>
      <c r="H33" s="236">
        <v>12</v>
      </c>
      <c r="I33" s="716" t="s">
        <v>1</v>
      </c>
      <c r="J33" s="233">
        <v>3.5</v>
      </c>
      <c r="K33" s="716" t="s">
        <v>1</v>
      </c>
      <c r="L33" s="236">
        <v>8</v>
      </c>
      <c r="M33" s="701" t="s">
        <v>0</v>
      </c>
      <c r="N33" s="702">
        <f t="shared" ref="N33:N34" si="2">L33*J33*H33</f>
        <v>336</v>
      </c>
      <c r="O33" s="776" t="s">
        <v>13</v>
      </c>
      <c r="P33" s="185"/>
      <c r="Q33" s="185"/>
      <c r="R33" s="715"/>
      <c r="U33" s="168"/>
      <c r="V33" s="168"/>
      <c r="W33" s="168"/>
      <c r="X33" s="173"/>
      <c r="Y33" s="714"/>
      <c r="Z33" s="714"/>
      <c r="AA33" s="714"/>
      <c r="AB33" s="714"/>
      <c r="AC33" s="172"/>
      <c r="AD33" s="714"/>
    </row>
    <row r="34" spans="1:30" s="157" customFormat="1">
      <c r="A34" s="493"/>
      <c r="B34" s="185"/>
      <c r="G34" s="713"/>
      <c r="H34" s="236">
        <v>12</v>
      </c>
      <c r="I34" s="716" t="s">
        <v>1</v>
      </c>
      <c r="J34" s="233">
        <v>0.7</v>
      </c>
      <c r="K34" s="716" t="s">
        <v>1</v>
      </c>
      <c r="L34" s="236">
        <v>36</v>
      </c>
      <c r="M34" s="701" t="s">
        <v>0</v>
      </c>
      <c r="N34" s="702">
        <f t="shared" si="2"/>
        <v>302.39999999999998</v>
      </c>
      <c r="O34" s="776" t="s">
        <v>13</v>
      </c>
      <c r="P34" s="185"/>
      <c r="Q34" s="185"/>
      <c r="R34" s="715"/>
      <c r="U34" s="168"/>
      <c r="V34" s="168"/>
      <c r="W34" s="168"/>
      <c r="X34" s="173"/>
      <c r="Y34" s="714"/>
      <c r="Z34" s="714"/>
      <c r="AA34" s="714"/>
      <c r="AB34" s="714"/>
      <c r="AC34" s="172"/>
      <c r="AD34" s="714"/>
    </row>
    <row r="35" spans="1:30" s="157" customFormat="1">
      <c r="A35" s="493"/>
      <c r="B35" s="777"/>
      <c r="C35" s="778"/>
      <c r="D35" s="185"/>
      <c r="E35" s="185"/>
      <c r="F35" s="716"/>
      <c r="G35" s="716"/>
      <c r="H35" s="236"/>
      <c r="I35" s="716"/>
      <c r="J35" s="233"/>
      <c r="K35" s="698"/>
      <c r="L35" s="233" t="s">
        <v>8</v>
      </c>
      <c r="M35" s="701" t="s">
        <v>0</v>
      </c>
      <c r="N35" s="779">
        <f>SUM(N33:N34)</f>
        <v>638.4</v>
      </c>
      <c r="O35" s="718" t="s">
        <v>13</v>
      </c>
      <c r="P35" s="185"/>
      <c r="Q35" s="185"/>
      <c r="R35" s="715"/>
      <c r="U35" s="168"/>
      <c r="V35" s="168"/>
      <c r="W35" s="168"/>
      <c r="X35" s="172"/>
      <c r="Y35" s="714"/>
      <c r="Z35" s="714"/>
      <c r="AA35" s="714"/>
      <c r="AB35" s="174"/>
      <c r="AC35" s="172"/>
      <c r="AD35" s="714"/>
    </row>
    <row r="36" spans="1:30" s="157" customFormat="1" ht="13.5" customHeight="1">
      <c r="A36" s="493"/>
      <c r="B36" s="200"/>
      <c r="C36" s="200"/>
      <c r="D36" s="200"/>
      <c r="E36" s="185"/>
      <c r="F36" s="780" t="s">
        <v>350</v>
      </c>
      <c r="G36" s="781" t="s">
        <v>11</v>
      </c>
      <c r="H36" s="781">
        <v>0.62</v>
      </c>
      <c r="I36" s="1044" t="s">
        <v>353</v>
      </c>
      <c r="J36" s="1045"/>
      <c r="K36" s="185"/>
      <c r="L36" s="185"/>
      <c r="M36" s="698" t="s">
        <v>0</v>
      </c>
      <c r="N36" s="781">
        <f>H36*N35</f>
        <v>395.80799999999999</v>
      </c>
      <c r="O36" s="700" t="s">
        <v>100</v>
      </c>
      <c r="P36" s="185"/>
      <c r="Q36" s="185"/>
      <c r="R36" s="715"/>
      <c r="U36" s="168"/>
      <c r="V36" s="168"/>
      <c r="W36" s="168"/>
      <c r="X36" s="1029"/>
      <c r="Y36" s="1029"/>
      <c r="Z36" s="1029"/>
      <c r="AA36" s="1029"/>
      <c r="AB36" s="1029"/>
      <c r="AC36" s="172"/>
      <c r="AD36" s="714"/>
    </row>
    <row r="37" spans="1:30" s="157" customFormat="1">
      <c r="A37" s="493"/>
      <c r="B37" s="1048" t="s">
        <v>385</v>
      </c>
      <c r="C37" s="1048"/>
      <c r="D37" s="1048"/>
      <c r="E37" s="1048"/>
      <c r="F37" s="1048"/>
      <c r="G37" s="1048"/>
      <c r="H37" s="1048"/>
      <c r="I37" s="1048"/>
      <c r="J37" s="1048"/>
      <c r="K37" s="716"/>
      <c r="L37" s="233"/>
      <c r="M37" s="701"/>
      <c r="N37" s="702"/>
      <c r="O37" s="776"/>
      <c r="P37" s="185"/>
      <c r="Q37" s="185"/>
      <c r="R37" s="715"/>
      <c r="U37" s="168"/>
      <c r="V37" s="168"/>
      <c r="W37" s="168"/>
      <c r="X37" s="173"/>
      <c r="Y37" s="714"/>
      <c r="Z37" s="714"/>
      <c r="AA37" s="714"/>
      <c r="AB37" s="714"/>
      <c r="AC37" s="172"/>
      <c r="AD37" s="714"/>
    </row>
    <row r="38" spans="1:30" s="157" customFormat="1">
      <c r="A38" s="493"/>
      <c r="B38" s="1035" t="s">
        <v>590</v>
      </c>
      <c r="C38" s="1035"/>
      <c r="D38" s="1035"/>
      <c r="E38" s="1035"/>
      <c r="F38" s="1035"/>
      <c r="G38" s="1035"/>
      <c r="H38" s="236"/>
      <c r="I38" s="716"/>
      <c r="J38" s="233"/>
      <c r="K38" s="716"/>
      <c r="L38" s="236"/>
      <c r="M38" s="701"/>
      <c r="N38" s="702"/>
      <c r="O38" s="715"/>
      <c r="P38" s="185"/>
      <c r="Q38" s="185"/>
      <c r="R38" s="715"/>
    </row>
    <row r="39" spans="1:30" s="157" customFormat="1">
      <c r="A39" s="493"/>
      <c r="B39" s="1035" t="s">
        <v>589</v>
      </c>
      <c r="C39" s="1035"/>
      <c r="D39" s="1035"/>
      <c r="E39" s="1035"/>
      <c r="F39" s="1035"/>
      <c r="G39" s="1035"/>
      <c r="H39" s="236">
        <v>1</v>
      </c>
      <c r="I39" s="716" t="s">
        <v>1</v>
      </c>
      <c r="J39" s="233">
        <v>1.3</v>
      </c>
      <c r="K39" s="716" t="s">
        <v>1</v>
      </c>
      <c r="L39" s="236">
        <v>1334</v>
      </c>
      <c r="M39" s="701" t="s">
        <v>0</v>
      </c>
      <c r="N39" s="702">
        <f>L39*J39*H39</f>
        <v>1734.2</v>
      </c>
      <c r="O39" s="715" t="s">
        <v>13</v>
      </c>
      <c r="P39" s="185"/>
      <c r="Q39" s="185"/>
      <c r="R39" s="715"/>
    </row>
    <row r="40" spans="1:30" s="157" customFormat="1">
      <c r="A40" s="493"/>
      <c r="B40" s="777"/>
      <c r="C40" s="778"/>
      <c r="D40" s="185"/>
      <c r="E40" s="185"/>
      <c r="F40" s="716"/>
      <c r="G40" s="716"/>
      <c r="H40" s="236"/>
      <c r="I40" s="716"/>
      <c r="J40" s="233"/>
      <c r="K40" s="698"/>
      <c r="L40" s="233" t="s">
        <v>8</v>
      </c>
      <c r="M40" s="701" t="s">
        <v>0</v>
      </c>
      <c r="N40" s="779">
        <f>SUM(N38:N39)</f>
        <v>1734.2</v>
      </c>
      <c r="O40" s="718" t="s">
        <v>13</v>
      </c>
      <c r="P40" s="185"/>
      <c r="Q40" s="185"/>
      <c r="R40" s="715"/>
      <c r="U40" s="168"/>
      <c r="V40" s="168"/>
      <c r="W40" s="168"/>
      <c r="X40" s="172"/>
      <c r="Y40" s="714"/>
      <c r="Z40" s="714"/>
      <c r="AA40" s="714"/>
      <c r="AB40" s="174"/>
      <c r="AC40" s="172"/>
      <c r="AD40" s="714"/>
    </row>
    <row r="41" spans="1:30" s="157" customFormat="1" ht="13.5" customHeight="1">
      <c r="A41" s="493"/>
      <c r="B41" s="200"/>
      <c r="C41" s="200"/>
      <c r="D41" s="200"/>
      <c r="E41" s="185"/>
      <c r="F41" s="780" t="s">
        <v>350</v>
      </c>
      <c r="G41" s="781" t="s">
        <v>11</v>
      </c>
      <c r="H41" s="781">
        <v>0.4</v>
      </c>
      <c r="I41" s="1044" t="s">
        <v>353</v>
      </c>
      <c r="J41" s="1045"/>
      <c r="K41" s="185"/>
      <c r="L41" s="185"/>
      <c r="M41" s="698" t="s">
        <v>0</v>
      </c>
      <c r="N41" s="781">
        <f>H41*N40</f>
        <v>693.68000000000006</v>
      </c>
      <c r="O41" s="700" t="s">
        <v>100</v>
      </c>
      <c r="P41" s="185"/>
      <c r="Q41" s="185"/>
      <c r="R41" s="715"/>
      <c r="U41" s="168"/>
      <c r="V41" s="168"/>
      <c r="W41" s="168"/>
      <c r="X41" s="1029"/>
      <c r="Y41" s="1029"/>
      <c r="Z41" s="1029"/>
      <c r="AA41" s="1029"/>
      <c r="AB41" s="1029"/>
      <c r="AC41" s="172"/>
      <c r="AD41" s="714"/>
    </row>
    <row r="42" spans="1:30" s="157" customFormat="1">
      <c r="A42" s="786"/>
      <c r="B42" s="538"/>
      <c r="C42" s="538"/>
      <c r="D42" s="787"/>
      <c r="E42" s="787"/>
      <c r="F42" s="788"/>
      <c r="G42" s="789"/>
      <c r="H42" s="788"/>
      <c r="I42" s="1046" t="s">
        <v>359</v>
      </c>
      <c r="J42" s="1046"/>
      <c r="K42" s="1046"/>
      <c r="L42" s="1046"/>
      <c r="M42" s="790" t="s">
        <v>0</v>
      </c>
      <c r="N42" s="791">
        <f>N19+N13+N32+N36+N41</f>
        <v>9162.9720000000016</v>
      </c>
      <c r="O42" s="792" t="s">
        <v>100</v>
      </c>
      <c r="P42" s="790"/>
      <c r="Q42" s="793"/>
      <c r="R42" s="794"/>
    </row>
    <row r="43" spans="1:30" s="157" customFormat="1">
      <c r="A43" s="786"/>
      <c r="B43" s="200"/>
      <c r="C43" s="200"/>
      <c r="D43" s="795"/>
      <c r="E43" s="795"/>
      <c r="F43" s="796"/>
      <c r="G43" s="776"/>
      <c r="H43" s="796"/>
      <c r="I43" s="776"/>
      <c r="J43" s="797"/>
      <c r="K43" s="701"/>
      <c r="L43" s="797"/>
      <c r="M43" s="698" t="s">
        <v>0</v>
      </c>
      <c r="N43" s="798">
        <f>N42/100</f>
        <v>91.62972000000002</v>
      </c>
      <c r="O43" s="715" t="s">
        <v>368</v>
      </c>
      <c r="P43" s="701"/>
      <c r="Q43" s="793"/>
      <c r="R43" s="794"/>
    </row>
    <row r="44" spans="1:30" s="157" customFormat="1" ht="15" customHeight="1">
      <c r="A44" s="493"/>
      <c r="B44" s="185"/>
      <c r="C44" s="185"/>
      <c r="D44" s="185"/>
      <c r="E44" s="185"/>
      <c r="F44" s="185"/>
      <c r="G44" s="185"/>
      <c r="H44" s="185"/>
      <c r="I44" s="185"/>
      <c r="J44" s="780" t="s">
        <v>350</v>
      </c>
      <c r="K44" s="781" t="s">
        <v>11</v>
      </c>
      <c r="L44" s="1047">
        <v>9944</v>
      </c>
      <c r="M44" s="1047"/>
      <c r="N44" s="687" t="s">
        <v>360</v>
      </c>
      <c r="O44" s="715"/>
      <c r="P44" s="698" t="s">
        <v>0</v>
      </c>
      <c r="Q44" s="699" t="s">
        <v>11</v>
      </c>
      <c r="R44" s="700">
        <f>ROUND(N43*L44,2)</f>
        <v>911165.94</v>
      </c>
    </row>
    <row r="45" spans="1:30" s="157" customFormat="1" ht="15" customHeight="1">
      <c r="A45" s="860"/>
      <c r="B45" s="185"/>
      <c r="C45" s="185"/>
      <c r="D45" s="185"/>
      <c r="E45" s="185"/>
      <c r="F45" s="185"/>
      <c r="G45" s="185"/>
      <c r="H45" s="185"/>
      <c r="I45" s="185"/>
      <c r="J45" s="780"/>
      <c r="K45" s="858"/>
      <c r="L45" s="858"/>
      <c r="M45" s="858"/>
      <c r="N45" s="857"/>
      <c r="O45" s="715"/>
      <c r="P45" s="698"/>
      <c r="Q45" s="699"/>
      <c r="R45" s="700"/>
    </row>
    <row r="46" spans="1:30" s="157" customFormat="1">
      <c r="A46" s="860"/>
      <c r="B46" s="185"/>
      <c r="C46" s="185"/>
      <c r="D46" s="185"/>
      <c r="E46" s="185"/>
      <c r="F46" s="185"/>
      <c r="G46" s="185"/>
      <c r="H46" s="185"/>
      <c r="I46" s="185"/>
      <c r="J46" s="780"/>
      <c r="K46" s="858"/>
      <c r="L46" s="833"/>
      <c r="M46" s="833"/>
      <c r="N46" s="857"/>
      <c r="O46" s="827" t="s">
        <v>24</v>
      </c>
      <c r="P46" s="828" t="s">
        <v>0</v>
      </c>
      <c r="Q46" s="829" t="s">
        <v>11</v>
      </c>
      <c r="R46" s="830">
        <f>SUM(R44:R45)</f>
        <v>911165.94</v>
      </c>
    </row>
    <row r="47" spans="1:30" s="157" customFormat="1">
      <c r="A47" s="860"/>
      <c r="B47" s="185"/>
      <c r="C47" s="185"/>
      <c r="D47" s="185"/>
      <c r="E47" s="185"/>
      <c r="F47" s="185"/>
      <c r="G47" s="185"/>
      <c r="H47" s="185"/>
      <c r="I47" s="185"/>
      <c r="J47" s="780"/>
      <c r="K47" s="858"/>
      <c r="L47" s="833"/>
      <c r="M47" s="833"/>
      <c r="N47" s="857"/>
      <c r="O47" s="786" t="s">
        <v>25</v>
      </c>
      <c r="P47" s="828" t="s">
        <v>0</v>
      </c>
      <c r="Q47" s="829" t="s">
        <v>11</v>
      </c>
      <c r="R47" s="830">
        <f>R46</f>
        <v>911165.94</v>
      </c>
    </row>
    <row r="48" spans="1:30" s="157" customFormat="1" ht="60.75" customHeight="1">
      <c r="A48" s="693" t="s">
        <v>609</v>
      </c>
      <c r="B48" s="1052" t="s">
        <v>581</v>
      </c>
      <c r="C48" s="1052"/>
      <c r="D48" s="1052"/>
      <c r="E48" s="1052"/>
      <c r="F48" s="1052"/>
      <c r="G48" s="1052"/>
      <c r="H48" s="1052"/>
      <c r="I48" s="1052"/>
      <c r="J48" s="1052"/>
      <c r="K48" s="1052"/>
      <c r="L48" s="1052"/>
      <c r="M48" s="1052"/>
      <c r="N48" s="1052"/>
      <c r="O48" s="1052"/>
      <c r="P48" s="200"/>
      <c r="Q48" s="200"/>
      <c r="R48" s="715"/>
    </row>
    <row r="49" spans="1:18" s="157" customFormat="1">
      <c r="A49" s="693"/>
      <c r="B49" s="998" t="s">
        <v>582</v>
      </c>
      <c r="C49" s="998"/>
      <c r="D49" s="998"/>
      <c r="E49" s="998"/>
      <c r="F49" s="998"/>
      <c r="G49" s="998"/>
      <c r="H49" s="998"/>
      <c r="I49" s="998"/>
      <c r="J49" s="998"/>
      <c r="K49" s="998"/>
      <c r="L49" s="998"/>
      <c r="M49" s="998"/>
      <c r="N49" s="998"/>
      <c r="O49" s="998"/>
      <c r="P49" s="200"/>
      <c r="Q49" s="200"/>
      <c r="R49" s="715"/>
    </row>
    <row r="50" spans="1:18" s="157" customFormat="1">
      <c r="A50" s="693"/>
      <c r="B50" s="998" t="s">
        <v>583</v>
      </c>
      <c r="C50" s="998"/>
      <c r="D50" s="998"/>
      <c r="E50" s="998"/>
      <c r="F50" s="998"/>
      <c r="G50" s="998"/>
      <c r="H50" s="998"/>
      <c r="I50" s="998"/>
      <c r="J50" s="998"/>
      <c r="K50" s="998"/>
      <c r="L50" s="998"/>
      <c r="M50" s="998"/>
      <c r="N50" s="998"/>
      <c r="O50" s="998"/>
      <c r="P50" s="200"/>
      <c r="Q50" s="200"/>
      <c r="R50" s="715"/>
    </row>
    <row r="51" spans="1:18" s="752" customFormat="1">
      <c r="A51" s="799"/>
      <c r="B51" s="1039" t="s">
        <v>598</v>
      </c>
      <c r="C51" s="1039"/>
      <c r="D51" s="1039"/>
      <c r="E51" s="1039"/>
      <c r="F51" s="1039"/>
      <c r="G51" s="1039"/>
      <c r="H51" s="800"/>
      <c r="I51" s="751"/>
      <c r="J51" s="801"/>
      <c r="K51" s="751"/>
      <c r="L51" s="801"/>
      <c r="M51" s="802"/>
      <c r="N51" s="803"/>
      <c r="O51" s="762"/>
      <c r="P51" s="765"/>
      <c r="Q51" s="765"/>
      <c r="R51" s="762"/>
    </row>
    <row r="52" spans="1:18" s="752" customFormat="1" ht="17.25">
      <c r="A52" s="799"/>
      <c r="B52" s="1042" t="s">
        <v>589</v>
      </c>
      <c r="C52" s="1042"/>
      <c r="D52" s="1042"/>
      <c r="E52" s="1042"/>
      <c r="F52" s="1042"/>
      <c r="G52" s="1042"/>
      <c r="H52" s="800">
        <v>1</v>
      </c>
      <c r="I52" s="751" t="s">
        <v>1</v>
      </c>
      <c r="J52" s="801">
        <v>167</v>
      </c>
      <c r="K52" s="751" t="s">
        <v>1</v>
      </c>
      <c r="L52" s="801">
        <v>1.1499999999999999</v>
      </c>
      <c r="M52" s="802" t="s">
        <v>0</v>
      </c>
      <c r="N52" s="803">
        <f t="shared" ref="N52:N53" si="3">L52*J52*H52</f>
        <v>192.04999999999998</v>
      </c>
      <c r="O52" s="762" t="s">
        <v>655</v>
      </c>
      <c r="P52" s="764"/>
      <c r="Q52" s="774"/>
      <c r="R52" s="768"/>
    </row>
    <row r="53" spans="1:18" s="752" customFormat="1" ht="17.25">
      <c r="A53" s="799"/>
      <c r="B53" s="1042" t="s">
        <v>656</v>
      </c>
      <c r="C53" s="1042"/>
      <c r="D53" s="1042"/>
      <c r="E53" s="1042"/>
      <c r="F53" s="1042"/>
      <c r="G53" s="1042"/>
      <c r="H53" s="800">
        <v>1</v>
      </c>
      <c r="I53" s="751" t="s">
        <v>1</v>
      </c>
      <c r="J53" s="801">
        <v>167</v>
      </c>
      <c r="K53" s="751" t="s">
        <v>1</v>
      </c>
      <c r="L53" s="801">
        <v>1.1499999999999999</v>
      </c>
      <c r="M53" s="802" t="s">
        <v>0</v>
      </c>
      <c r="N53" s="803">
        <f t="shared" si="3"/>
        <v>192.04999999999998</v>
      </c>
      <c r="O53" s="762" t="s">
        <v>655</v>
      </c>
      <c r="P53" s="764"/>
      <c r="Q53" s="774"/>
      <c r="R53" s="768"/>
    </row>
    <row r="54" spans="1:18" s="752" customFormat="1">
      <c r="A54" s="799"/>
      <c r="B54" s="1039" t="s">
        <v>601</v>
      </c>
      <c r="C54" s="1039"/>
      <c r="D54" s="1039"/>
      <c r="E54" s="1039"/>
      <c r="F54" s="1039"/>
      <c r="G54" s="1039"/>
      <c r="H54" s="800"/>
      <c r="I54" s="751"/>
      <c r="J54" s="801"/>
      <c r="K54" s="751"/>
      <c r="L54" s="801"/>
      <c r="M54" s="802"/>
      <c r="N54" s="803"/>
      <c r="O54" s="762"/>
      <c r="P54" s="764"/>
      <c r="Q54" s="774"/>
      <c r="R54" s="768"/>
    </row>
    <row r="55" spans="1:18" s="752" customFormat="1" ht="17.25" customHeight="1">
      <c r="A55" s="799"/>
      <c r="B55" s="1042" t="s">
        <v>599</v>
      </c>
      <c r="C55" s="1042"/>
      <c r="D55" s="1042"/>
      <c r="E55" s="1042"/>
      <c r="F55" s="800"/>
      <c r="G55" s="751"/>
      <c r="H55" s="800">
        <v>2</v>
      </c>
      <c r="I55" s="751" t="s">
        <v>1</v>
      </c>
      <c r="J55" s="801">
        <v>11.7</v>
      </c>
      <c r="K55" s="751" t="s">
        <v>1</v>
      </c>
      <c r="L55" s="801">
        <v>7.1</v>
      </c>
      <c r="M55" s="802" t="s">
        <v>0</v>
      </c>
      <c r="N55" s="803">
        <f>L55*J55*H55</f>
        <v>166.14</v>
      </c>
      <c r="O55" s="762" t="s">
        <v>655</v>
      </c>
      <c r="P55" s="764"/>
      <c r="Q55" s="774"/>
      <c r="R55" s="768"/>
    </row>
    <row r="56" spans="1:18" s="752" customFormat="1" ht="17.25" customHeight="1">
      <c r="A56" s="799"/>
      <c r="B56" s="1042" t="s">
        <v>600</v>
      </c>
      <c r="C56" s="1042"/>
      <c r="D56" s="1042"/>
      <c r="E56" s="1042"/>
      <c r="F56" s="800"/>
      <c r="G56" s="751"/>
      <c r="H56" s="800">
        <v>1</v>
      </c>
      <c r="I56" s="751" t="s">
        <v>1</v>
      </c>
      <c r="J56" s="801">
        <v>2.7</v>
      </c>
      <c r="K56" s="751" t="s">
        <v>1</v>
      </c>
      <c r="L56" s="772">
        <v>4.7</v>
      </c>
      <c r="M56" s="802" t="s">
        <v>0</v>
      </c>
      <c r="N56" s="804">
        <f>L56*J56*H56</f>
        <v>12.690000000000001</v>
      </c>
      <c r="O56" s="762" t="s">
        <v>655</v>
      </c>
      <c r="P56" s="764"/>
      <c r="Q56" s="774"/>
      <c r="R56" s="768"/>
    </row>
    <row r="57" spans="1:18" s="752" customFormat="1" ht="17.25" customHeight="1">
      <c r="A57" s="799"/>
      <c r="B57" s="1053" t="s">
        <v>597</v>
      </c>
      <c r="C57" s="1053"/>
      <c r="D57" s="1053"/>
      <c r="E57" s="1053"/>
      <c r="F57" s="1053"/>
      <c r="G57" s="1053"/>
      <c r="H57" s="800">
        <v>1</v>
      </c>
      <c r="I57" s="751" t="s">
        <v>1</v>
      </c>
      <c r="J57" s="801">
        <v>7.2</v>
      </c>
      <c r="K57" s="751" t="s">
        <v>1</v>
      </c>
      <c r="L57" s="772">
        <v>1.2</v>
      </c>
      <c r="M57" s="802" t="s">
        <v>0</v>
      </c>
      <c r="N57" s="804">
        <f>L57*J57*H57</f>
        <v>8.64</v>
      </c>
      <c r="O57" s="762" t="s">
        <v>655</v>
      </c>
      <c r="P57" s="764"/>
      <c r="Q57" s="774"/>
      <c r="R57" s="768"/>
    </row>
    <row r="58" spans="1:18" s="752" customFormat="1">
      <c r="A58" s="799"/>
      <c r="B58" s="1039" t="s">
        <v>602</v>
      </c>
      <c r="C58" s="1039"/>
      <c r="D58" s="1039"/>
      <c r="E58" s="1039"/>
      <c r="F58" s="1039"/>
      <c r="G58" s="1039"/>
      <c r="H58" s="800"/>
      <c r="I58" s="751"/>
      <c r="J58" s="801"/>
      <c r="K58" s="751"/>
      <c r="L58" s="801"/>
      <c r="M58" s="802"/>
      <c r="N58" s="803"/>
      <c r="O58" s="762"/>
      <c r="P58" s="764"/>
      <c r="Q58" s="774"/>
      <c r="R58" s="768"/>
    </row>
    <row r="59" spans="1:18" s="752" customFormat="1" ht="17.25" customHeight="1">
      <c r="A59" s="799"/>
      <c r="B59" s="1042" t="s">
        <v>600</v>
      </c>
      <c r="C59" s="1042"/>
      <c r="D59" s="1042"/>
      <c r="E59" s="1042"/>
      <c r="F59" s="800"/>
      <c r="G59" s="751"/>
      <c r="H59" s="800">
        <v>1</v>
      </c>
      <c r="I59" s="751" t="s">
        <v>1</v>
      </c>
      <c r="J59" s="801">
        <v>2.7</v>
      </c>
      <c r="K59" s="751" t="s">
        <v>1</v>
      </c>
      <c r="L59" s="772">
        <v>4.7</v>
      </c>
      <c r="M59" s="802" t="s">
        <v>0</v>
      </c>
      <c r="N59" s="804">
        <f>L59*J59*H59</f>
        <v>12.690000000000001</v>
      </c>
      <c r="O59" s="762" t="s">
        <v>655</v>
      </c>
      <c r="P59" s="764"/>
      <c r="Q59" s="774"/>
      <c r="R59" s="768"/>
    </row>
    <row r="60" spans="1:18" s="752" customFormat="1" ht="17.25" customHeight="1">
      <c r="A60" s="799"/>
      <c r="B60" s="1053" t="s">
        <v>604</v>
      </c>
      <c r="C60" s="1053"/>
      <c r="D60" s="1053"/>
      <c r="E60" s="1053"/>
      <c r="F60" s="1053"/>
      <c r="G60" s="1053"/>
      <c r="H60" s="800">
        <v>2</v>
      </c>
      <c r="I60" s="751" t="s">
        <v>1</v>
      </c>
      <c r="J60" s="801">
        <v>9.4</v>
      </c>
      <c r="K60" s="751" t="s">
        <v>1</v>
      </c>
      <c r="L60" s="772">
        <v>3.5</v>
      </c>
      <c r="M60" s="802" t="s">
        <v>0</v>
      </c>
      <c r="N60" s="804">
        <f>L60*J60*H60</f>
        <v>65.8</v>
      </c>
      <c r="O60" s="762" t="s">
        <v>655</v>
      </c>
      <c r="P60" s="760"/>
      <c r="Q60" s="770"/>
      <c r="R60" s="768"/>
    </row>
    <row r="61" spans="1:18" s="157" customFormat="1">
      <c r="A61" s="693"/>
      <c r="B61" s="1036" t="s">
        <v>615</v>
      </c>
      <c r="C61" s="1036"/>
      <c r="D61" s="1036"/>
      <c r="E61" s="1036"/>
      <c r="F61" s="1036"/>
      <c r="G61" s="1036"/>
      <c r="H61" s="694"/>
      <c r="I61" s="244"/>
      <c r="J61" s="695"/>
      <c r="K61" s="244"/>
      <c r="L61" s="695"/>
      <c r="M61" s="696"/>
      <c r="N61" s="697"/>
      <c r="O61" s="715"/>
      <c r="P61" s="698"/>
      <c r="Q61" s="699"/>
      <c r="R61" s="700"/>
    </row>
    <row r="62" spans="1:18" s="157" customFormat="1" ht="17.25" customHeight="1">
      <c r="A62" s="693"/>
      <c r="B62" s="1035"/>
      <c r="C62" s="1035"/>
      <c r="D62" s="1035"/>
      <c r="E62" s="1035"/>
      <c r="F62" s="777"/>
      <c r="G62" s="777"/>
      <c r="H62" s="694">
        <f>H33</f>
        <v>12</v>
      </c>
      <c r="I62" s="244" t="s">
        <v>1</v>
      </c>
      <c r="J62" s="695">
        <f>J33</f>
        <v>3.5</v>
      </c>
      <c r="K62" s="244" t="s">
        <v>1</v>
      </c>
      <c r="L62" s="798">
        <f>J34</f>
        <v>0.7</v>
      </c>
      <c r="M62" s="812" t="s">
        <v>0</v>
      </c>
      <c r="N62" s="813">
        <f t="shared" ref="N62" si="4">L62*J62*H62</f>
        <v>29.4</v>
      </c>
      <c r="O62" s="717" t="s">
        <v>420</v>
      </c>
      <c r="P62" s="701"/>
      <c r="Q62" s="793"/>
      <c r="R62" s="700"/>
    </row>
    <row r="63" spans="1:18" s="752" customFormat="1" ht="17.25" customHeight="1">
      <c r="A63" s="799"/>
      <c r="B63" s="763"/>
      <c r="C63" s="805"/>
      <c r="D63" s="800"/>
      <c r="E63" s="751"/>
      <c r="F63" s="800"/>
      <c r="G63" s="751"/>
      <c r="H63" s="800"/>
      <c r="I63" s="751"/>
      <c r="J63" s="801"/>
      <c r="K63" s="751"/>
      <c r="L63" s="801" t="s">
        <v>8</v>
      </c>
      <c r="M63" s="802" t="s">
        <v>0</v>
      </c>
      <c r="N63" s="803">
        <f>SUM(N52:N62)</f>
        <v>679.46</v>
      </c>
      <c r="O63" s="762" t="s">
        <v>655</v>
      </c>
      <c r="P63" s="764"/>
      <c r="Q63" s="774"/>
      <c r="R63" s="768"/>
    </row>
    <row r="64" spans="1:18" s="752" customFormat="1" ht="17.25" customHeight="1">
      <c r="A64" s="799"/>
      <c r="B64" s="806"/>
      <c r="C64" s="806"/>
      <c r="D64" s="806"/>
      <c r="E64" s="806"/>
      <c r="F64" s="806"/>
      <c r="G64" s="806"/>
      <c r="H64" s="806"/>
      <c r="I64" s="806"/>
      <c r="J64" s="807" t="s">
        <v>350</v>
      </c>
      <c r="K64" s="808" t="s">
        <v>11</v>
      </c>
      <c r="L64" s="1056">
        <v>572</v>
      </c>
      <c r="M64" s="1056"/>
      <c r="N64" s="809" t="s">
        <v>657</v>
      </c>
      <c r="O64" s="762"/>
      <c r="P64" s="810" t="s">
        <v>0</v>
      </c>
      <c r="Q64" s="811" t="s">
        <v>11</v>
      </c>
      <c r="R64" s="768">
        <f>ROUND(N63*L64,0)</f>
        <v>388651</v>
      </c>
    </row>
    <row r="65" spans="1:18" ht="15" customHeight="1">
      <c r="B65" s="681"/>
      <c r="C65" s="681"/>
      <c r="D65" s="681"/>
      <c r="E65" s="681"/>
      <c r="F65" s="681"/>
      <c r="G65" s="681"/>
      <c r="H65" s="681"/>
      <c r="I65" s="681"/>
      <c r="J65" s="684"/>
      <c r="K65" s="686"/>
      <c r="L65" s="686"/>
      <c r="M65" s="686"/>
      <c r="N65" s="725"/>
      <c r="O65" s="691"/>
      <c r="P65" s="692"/>
      <c r="Q65" s="682"/>
      <c r="R65" s="685"/>
    </row>
    <row r="66" spans="1:18" s="157" customFormat="1" ht="50.25" customHeight="1">
      <c r="A66" s="693" t="s">
        <v>610</v>
      </c>
      <c r="B66" s="1051" t="s">
        <v>579</v>
      </c>
      <c r="C66" s="1051"/>
      <c r="D66" s="1051"/>
      <c r="E66" s="1051"/>
      <c r="F66" s="1051"/>
      <c r="G66" s="1051"/>
      <c r="H66" s="1051"/>
      <c r="I66" s="1051"/>
      <c r="J66" s="1051"/>
      <c r="K66" s="1051"/>
      <c r="L66" s="1051"/>
      <c r="M66" s="1051"/>
      <c r="N66" s="1051"/>
      <c r="O66" s="1051"/>
      <c r="P66" s="698"/>
      <c r="Q66" s="699"/>
      <c r="R66" s="700"/>
    </row>
    <row r="67" spans="1:18" s="157" customFormat="1" ht="16.5" customHeight="1">
      <c r="A67" s="786"/>
      <c r="B67" s="1044" t="s">
        <v>585</v>
      </c>
      <c r="C67" s="1044"/>
      <c r="D67" s="1044"/>
      <c r="E67" s="1044"/>
      <c r="F67" s="1044"/>
      <c r="G67" s="1044"/>
      <c r="H67" s="1044"/>
      <c r="I67" s="1044"/>
      <c r="J67" s="1044"/>
      <c r="K67" s="701"/>
      <c r="L67" s="797"/>
      <c r="M67" s="701"/>
      <c r="N67" s="702"/>
      <c r="O67" s="715"/>
      <c r="P67" s="200"/>
      <c r="Q67" s="200"/>
      <c r="R67" s="715"/>
    </row>
    <row r="68" spans="1:18" s="752" customFormat="1">
      <c r="A68" s="799"/>
      <c r="B68" s="1039" t="s">
        <v>598</v>
      </c>
      <c r="C68" s="1039"/>
      <c r="D68" s="1039"/>
      <c r="E68" s="1039"/>
      <c r="F68" s="1039"/>
      <c r="G68" s="1039"/>
      <c r="H68" s="800"/>
      <c r="I68" s="751"/>
      <c r="J68" s="801"/>
      <c r="K68" s="751"/>
      <c r="L68" s="801"/>
      <c r="M68" s="802"/>
      <c r="N68" s="803"/>
      <c r="O68" s="762"/>
      <c r="P68" s="765"/>
      <c r="Q68" s="765"/>
      <c r="R68" s="762"/>
    </row>
    <row r="69" spans="1:18" s="752" customFormat="1">
      <c r="A69" s="799"/>
      <c r="B69" s="1042" t="s">
        <v>589</v>
      </c>
      <c r="C69" s="1042"/>
      <c r="D69" s="1042"/>
      <c r="E69" s="1042"/>
      <c r="F69" s="1042"/>
      <c r="G69" s="1042"/>
      <c r="H69" s="800"/>
      <c r="I69" s="751"/>
      <c r="J69" s="801"/>
      <c r="K69" s="751"/>
      <c r="L69" s="801"/>
      <c r="M69" s="802"/>
      <c r="N69" s="803"/>
      <c r="O69" s="762"/>
      <c r="P69" s="764"/>
      <c r="Q69" s="774"/>
      <c r="R69" s="768"/>
    </row>
    <row r="70" spans="1:18" s="752" customFormat="1" ht="17.25">
      <c r="A70" s="799"/>
      <c r="B70" s="758"/>
      <c r="C70" s="758"/>
      <c r="D70" s="758"/>
      <c r="E70" s="758"/>
      <c r="F70" s="800">
        <v>1</v>
      </c>
      <c r="G70" s="751" t="s">
        <v>1</v>
      </c>
      <c r="H70" s="801">
        <v>167</v>
      </c>
      <c r="I70" s="751" t="s">
        <v>1</v>
      </c>
      <c r="J70" s="801">
        <v>0.25</v>
      </c>
      <c r="K70" s="751" t="s">
        <v>1</v>
      </c>
      <c r="L70" s="801">
        <v>0.35</v>
      </c>
      <c r="M70" s="802" t="s">
        <v>0</v>
      </c>
      <c r="N70" s="803">
        <f t="shared" ref="N70" si="5">L70*J70*H70*F70</f>
        <v>14.612499999999999</v>
      </c>
      <c r="O70" s="751" t="s">
        <v>658</v>
      </c>
      <c r="P70" s="764"/>
      <c r="Q70" s="774"/>
      <c r="R70" s="768"/>
    </row>
    <row r="71" spans="1:18" s="752" customFormat="1">
      <c r="A71" s="799"/>
      <c r="B71" s="1042" t="s">
        <v>656</v>
      </c>
      <c r="C71" s="1042"/>
      <c r="D71" s="1042"/>
      <c r="E71" s="1042"/>
      <c r="F71" s="1042"/>
      <c r="G71" s="1042"/>
      <c r="H71" s="800"/>
      <c r="I71" s="751"/>
      <c r="J71" s="801"/>
      <c r="K71" s="751"/>
      <c r="L71" s="801"/>
      <c r="M71" s="802"/>
      <c r="N71" s="803"/>
      <c r="O71" s="762"/>
      <c r="P71" s="764"/>
      <c r="Q71" s="774"/>
      <c r="R71" s="768"/>
    </row>
    <row r="72" spans="1:18" s="752" customFormat="1" ht="17.25">
      <c r="A72" s="799"/>
      <c r="B72" s="758"/>
      <c r="C72" s="758"/>
      <c r="D72" s="758"/>
      <c r="E72" s="758"/>
      <c r="F72" s="800">
        <v>1</v>
      </c>
      <c r="G72" s="751" t="s">
        <v>1</v>
      </c>
      <c r="H72" s="801">
        <v>167</v>
      </c>
      <c r="I72" s="751" t="s">
        <v>1</v>
      </c>
      <c r="J72" s="801">
        <v>0.25</v>
      </c>
      <c r="K72" s="751" t="s">
        <v>1</v>
      </c>
      <c r="L72" s="801">
        <v>0.35</v>
      </c>
      <c r="M72" s="802" t="s">
        <v>0</v>
      </c>
      <c r="N72" s="803">
        <f t="shared" ref="N72" si="6">L72*J72*H72*F72</f>
        <v>14.612499999999999</v>
      </c>
      <c r="O72" s="751" t="s">
        <v>658</v>
      </c>
      <c r="P72" s="764"/>
      <c r="Q72" s="774"/>
      <c r="R72" s="768"/>
    </row>
    <row r="73" spans="1:18" s="752" customFormat="1">
      <c r="A73" s="799"/>
      <c r="B73" s="1039" t="s">
        <v>601</v>
      </c>
      <c r="C73" s="1039"/>
      <c r="D73" s="1039"/>
      <c r="E73" s="1039"/>
      <c r="F73" s="1039"/>
      <c r="G73" s="1039"/>
      <c r="H73" s="800"/>
      <c r="I73" s="751"/>
      <c r="J73" s="801"/>
      <c r="K73" s="751"/>
      <c r="L73" s="801"/>
      <c r="M73" s="802"/>
      <c r="N73" s="803"/>
      <c r="O73" s="762"/>
      <c r="P73" s="764"/>
      <c r="Q73" s="774"/>
      <c r="R73" s="768"/>
    </row>
    <row r="74" spans="1:18" s="752" customFormat="1" ht="17.25" customHeight="1">
      <c r="A74" s="799"/>
      <c r="B74" s="1042" t="s">
        <v>599</v>
      </c>
      <c r="C74" s="1042"/>
      <c r="D74" s="1042"/>
      <c r="E74" s="1042"/>
      <c r="F74" s="800">
        <v>2</v>
      </c>
      <c r="G74" s="751" t="s">
        <v>1</v>
      </c>
      <c r="H74" s="801">
        <v>11.7</v>
      </c>
      <c r="I74" s="751" t="s">
        <v>1</v>
      </c>
      <c r="J74" s="801">
        <v>7.1</v>
      </c>
      <c r="K74" s="751" t="s">
        <v>1</v>
      </c>
      <c r="L74" s="801">
        <v>0.1</v>
      </c>
      <c r="M74" s="802" t="s">
        <v>0</v>
      </c>
      <c r="N74" s="803">
        <f t="shared" ref="N74:N75" si="7">L74*J74*H74*F74</f>
        <v>16.613999999999997</v>
      </c>
      <c r="O74" s="751" t="s">
        <v>658</v>
      </c>
      <c r="P74" s="764"/>
      <c r="Q74" s="774"/>
      <c r="R74" s="768"/>
    </row>
    <row r="75" spans="1:18" s="752" customFormat="1" ht="17.25" customHeight="1">
      <c r="A75" s="799"/>
      <c r="B75" s="1042" t="s">
        <v>600</v>
      </c>
      <c r="C75" s="1042"/>
      <c r="D75" s="1042"/>
      <c r="E75" s="1042"/>
      <c r="F75" s="800">
        <v>1</v>
      </c>
      <c r="G75" s="751" t="s">
        <v>1</v>
      </c>
      <c r="H75" s="801">
        <v>2.7</v>
      </c>
      <c r="I75" s="751" t="s">
        <v>1</v>
      </c>
      <c r="J75" s="801">
        <v>4.7</v>
      </c>
      <c r="K75" s="751" t="s">
        <v>1</v>
      </c>
      <c r="L75" s="801">
        <v>0.1</v>
      </c>
      <c r="M75" s="802" t="s">
        <v>0</v>
      </c>
      <c r="N75" s="803">
        <f t="shared" si="7"/>
        <v>1.2690000000000001</v>
      </c>
      <c r="O75" s="751" t="s">
        <v>658</v>
      </c>
      <c r="P75" s="764"/>
      <c r="Q75" s="774"/>
      <c r="R75" s="768"/>
    </row>
    <row r="76" spans="1:18" s="752" customFormat="1" ht="17.25" customHeight="1">
      <c r="A76" s="799"/>
      <c r="B76" s="1053" t="s">
        <v>597</v>
      </c>
      <c r="C76" s="1053"/>
      <c r="D76" s="1053"/>
      <c r="E76" s="1053"/>
      <c r="F76" s="1053"/>
      <c r="G76" s="1053"/>
      <c r="H76" s="800"/>
      <c r="I76" s="751"/>
      <c r="J76" s="801"/>
      <c r="K76" s="751"/>
      <c r="L76" s="772"/>
      <c r="M76" s="802"/>
      <c r="N76" s="804"/>
      <c r="O76" s="762"/>
      <c r="P76" s="764"/>
      <c r="Q76" s="774"/>
      <c r="R76" s="768"/>
    </row>
    <row r="77" spans="1:18" s="752" customFormat="1" ht="17.25" customHeight="1">
      <c r="A77" s="799"/>
      <c r="B77" s="775"/>
      <c r="C77" s="775"/>
      <c r="D77" s="775"/>
      <c r="E77" s="775"/>
      <c r="F77" s="800">
        <v>1</v>
      </c>
      <c r="G77" s="751" t="s">
        <v>1</v>
      </c>
      <c r="H77" s="801">
        <v>7.2</v>
      </c>
      <c r="I77" s="751" t="s">
        <v>1</v>
      </c>
      <c r="J77" s="801">
        <v>1.2</v>
      </c>
      <c r="K77" s="751" t="s">
        <v>1</v>
      </c>
      <c r="L77" s="801">
        <v>0.125</v>
      </c>
      <c r="M77" s="802" t="s">
        <v>0</v>
      </c>
      <c r="N77" s="803">
        <f t="shared" ref="N77" si="8">L77*J77*H77*F77</f>
        <v>1.08</v>
      </c>
      <c r="O77" s="751" t="s">
        <v>658</v>
      </c>
      <c r="P77" s="764"/>
      <c r="Q77" s="774"/>
      <c r="R77" s="768"/>
    </row>
    <row r="78" spans="1:18" s="752" customFormat="1">
      <c r="A78" s="799"/>
      <c r="B78" s="1039" t="s">
        <v>602</v>
      </c>
      <c r="C78" s="1039"/>
      <c r="D78" s="1039"/>
      <c r="E78" s="1039"/>
      <c r="F78" s="1039"/>
      <c r="G78" s="1039"/>
      <c r="H78" s="800"/>
      <c r="I78" s="751"/>
      <c r="J78" s="801"/>
      <c r="K78" s="751"/>
      <c r="L78" s="801"/>
      <c r="M78" s="802"/>
      <c r="N78" s="803"/>
      <c r="O78" s="762"/>
      <c r="P78" s="764"/>
      <c r="Q78" s="774"/>
      <c r="R78" s="768"/>
    </row>
    <row r="79" spans="1:18" s="752" customFormat="1" ht="17.25" customHeight="1">
      <c r="A79" s="799"/>
      <c r="B79" s="1042" t="s">
        <v>600</v>
      </c>
      <c r="C79" s="1042"/>
      <c r="D79" s="1042"/>
      <c r="E79" s="1042"/>
      <c r="F79" s="800">
        <v>1</v>
      </c>
      <c r="G79" s="751" t="s">
        <v>1</v>
      </c>
      <c r="H79" s="801">
        <v>2.7</v>
      </c>
      <c r="I79" s="751" t="s">
        <v>1</v>
      </c>
      <c r="J79" s="801">
        <v>4.7</v>
      </c>
      <c r="K79" s="751" t="s">
        <v>1</v>
      </c>
      <c r="L79" s="801">
        <v>0.1</v>
      </c>
      <c r="M79" s="802" t="s">
        <v>0</v>
      </c>
      <c r="N79" s="804">
        <f t="shared" ref="N79" si="9">L79*J79*H79*F79</f>
        <v>1.2690000000000001</v>
      </c>
      <c r="O79" s="762" t="s">
        <v>658</v>
      </c>
      <c r="P79" s="760"/>
      <c r="Q79" s="770"/>
      <c r="R79" s="768"/>
    </row>
    <row r="80" spans="1:18" s="752" customFormat="1" ht="17.25" customHeight="1">
      <c r="A80" s="799"/>
      <c r="B80" s="1053" t="s">
        <v>604</v>
      </c>
      <c r="C80" s="1053"/>
      <c r="D80" s="1053"/>
      <c r="E80" s="1053"/>
      <c r="F80" s="1053"/>
      <c r="G80" s="1053"/>
      <c r="H80" s="800"/>
      <c r="I80" s="751"/>
      <c r="J80" s="801"/>
      <c r="K80" s="751"/>
      <c r="L80" s="772"/>
      <c r="M80" s="802"/>
      <c r="N80" s="804"/>
      <c r="O80" s="762"/>
      <c r="P80" s="760"/>
      <c r="Q80" s="770"/>
      <c r="R80" s="768"/>
    </row>
    <row r="81" spans="1:30" s="752" customFormat="1" ht="17.25" customHeight="1">
      <c r="A81" s="799"/>
      <c r="B81" s="775"/>
      <c r="C81" s="775"/>
      <c r="D81" s="775"/>
      <c r="E81" s="775"/>
      <c r="F81" s="800">
        <v>2</v>
      </c>
      <c r="G81" s="751" t="s">
        <v>1</v>
      </c>
      <c r="H81" s="801">
        <v>9.4</v>
      </c>
      <c r="I81" s="751" t="s">
        <v>1</v>
      </c>
      <c r="J81" s="801">
        <v>3.5</v>
      </c>
      <c r="K81" s="751" t="s">
        <v>1</v>
      </c>
      <c r="L81" s="801">
        <v>0.1</v>
      </c>
      <c r="M81" s="802" t="s">
        <v>0</v>
      </c>
      <c r="N81" s="803">
        <f t="shared" ref="N81" si="10">L81*J81*H81*F81</f>
        <v>6.580000000000001</v>
      </c>
      <c r="O81" s="751" t="s">
        <v>658</v>
      </c>
      <c r="P81" s="760"/>
      <c r="Q81" s="770"/>
      <c r="R81" s="768"/>
    </row>
    <row r="82" spans="1:30" s="752" customFormat="1" ht="17.25">
      <c r="A82" s="756"/>
      <c r="B82" s="750" t="s">
        <v>468</v>
      </c>
      <c r="F82" s="757">
        <f>3*12</f>
        <v>36</v>
      </c>
      <c r="G82" s="758" t="s">
        <v>1</v>
      </c>
      <c r="H82" s="757">
        <v>1</v>
      </c>
      <c r="I82" s="758" t="s">
        <v>1</v>
      </c>
      <c r="J82" s="759">
        <v>0.6</v>
      </c>
      <c r="K82" s="758" t="s">
        <v>1</v>
      </c>
      <c r="L82" s="759">
        <v>0.1</v>
      </c>
      <c r="M82" s="760" t="s">
        <v>0</v>
      </c>
      <c r="N82" s="761">
        <f>F82*L82*J82*H82</f>
        <v>2.16</v>
      </c>
      <c r="O82" s="751" t="s">
        <v>658</v>
      </c>
      <c r="P82" s="750"/>
      <c r="Q82" s="750"/>
      <c r="R82" s="762"/>
      <c r="U82" s="769"/>
      <c r="V82" s="769"/>
      <c r="W82" s="769"/>
      <c r="X82" s="753"/>
      <c r="Y82" s="754"/>
      <c r="Z82" s="754"/>
      <c r="AA82" s="754"/>
      <c r="AB82" s="754"/>
      <c r="AC82" s="755"/>
      <c r="AD82" s="754"/>
    </row>
    <row r="83" spans="1:30" s="157" customFormat="1">
      <c r="A83" s="693"/>
      <c r="B83" s="1036" t="s">
        <v>615</v>
      </c>
      <c r="C83" s="1036"/>
      <c r="D83" s="1036"/>
      <c r="E83" s="1036"/>
      <c r="F83" s="1036"/>
      <c r="G83" s="1036"/>
      <c r="H83" s="694"/>
      <c r="I83" s="244"/>
      <c r="J83" s="695"/>
      <c r="K83" s="244"/>
      <c r="L83" s="695"/>
      <c r="M83" s="696"/>
      <c r="N83" s="697"/>
      <c r="O83" s="715"/>
      <c r="P83" s="698"/>
      <c r="Q83" s="699"/>
      <c r="R83" s="700"/>
    </row>
    <row r="84" spans="1:30" s="157" customFormat="1" ht="17.25" customHeight="1">
      <c r="A84" s="693"/>
      <c r="B84" s="1035"/>
      <c r="C84" s="1035"/>
      <c r="D84" s="1035"/>
      <c r="E84" s="1035"/>
      <c r="F84" s="694">
        <v>4</v>
      </c>
      <c r="G84" s="825" t="s">
        <v>1</v>
      </c>
      <c r="H84" s="695">
        <v>4</v>
      </c>
      <c r="I84" s="825" t="s">
        <v>1</v>
      </c>
      <c r="J84" s="798">
        <v>7.2</v>
      </c>
      <c r="K84" s="244" t="s">
        <v>1</v>
      </c>
      <c r="L84" s="798">
        <v>0.7</v>
      </c>
      <c r="M84" s="812" t="s">
        <v>0</v>
      </c>
      <c r="N84" s="813">
        <f>F84*L84*J84*H84</f>
        <v>80.64</v>
      </c>
      <c r="O84" s="717" t="s">
        <v>420</v>
      </c>
      <c r="P84" s="701"/>
      <c r="Q84" s="793"/>
      <c r="R84" s="700"/>
    </row>
    <row r="85" spans="1:30" s="157" customFormat="1" ht="17.25">
      <c r="A85" s="493"/>
      <c r="B85" s="1002"/>
      <c r="C85" s="1002"/>
      <c r="D85" s="1002"/>
      <c r="E85" s="1002"/>
      <c r="F85" s="185"/>
      <c r="G85" s="185"/>
      <c r="H85" s="185"/>
      <c r="I85" s="185"/>
      <c r="J85" s="185"/>
      <c r="K85" s="1046" t="s">
        <v>8</v>
      </c>
      <c r="L85" s="1046"/>
      <c r="M85" s="790" t="s">
        <v>0</v>
      </c>
      <c r="N85" s="235">
        <f>SUM(N70:N84)</f>
        <v>138.83699999999999</v>
      </c>
      <c r="O85" s="244" t="s">
        <v>584</v>
      </c>
      <c r="P85" s="185"/>
      <c r="Q85" s="185"/>
      <c r="R85" s="244"/>
    </row>
    <row r="86" spans="1:30" s="157" customFormat="1" ht="21" customHeight="1">
      <c r="A86" s="493"/>
      <c r="B86" s="185"/>
      <c r="C86" s="185"/>
      <c r="D86" s="185"/>
      <c r="E86" s="185"/>
      <c r="F86" s="185"/>
      <c r="G86" s="185"/>
      <c r="H86" s="185"/>
      <c r="I86" s="185"/>
      <c r="J86" s="780" t="s">
        <v>350</v>
      </c>
      <c r="K86" s="781" t="s">
        <v>11</v>
      </c>
      <c r="L86" s="1047">
        <v>8404</v>
      </c>
      <c r="M86" s="1047"/>
      <c r="N86" s="687" t="s">
        <v>659</v>
      </c>
      <c r="O86" s="715"/>
      <c r="P86" s="701" t="s">
        <v>0</v>
      </c>
      <c r="Q86" s="793" t="s">
        <v>11</v>
      </c>
      <c r="R86" s="794">
        <f>ROUND(N85*L86,0)</f>
        <v>1166786</v>
      </c>
      <c r="S86" s="157" t="s">
        <v>374</v>
      </c>
    </row>
    <row r="87" spans="1:30" s="157" customFormat="1">
      <c r="A87" s="860"/>
      <c r="B87" s="185"/>
      <c r="C87" s="185"/>
      <c r="D87" s="185"/>
      <c r="E87" s="185"/>
      <c r="F87" s="185"/>
      <c r="G87" s="185"/>
      <c r="H87" s="185"/>
      <c r="I87" s="185"/>
      <c r="J87" s="780"/>
      <c r="K87" s="858"/>
      <c r="L87" s="858"/>
      <c r="M87" s="858"/>
      <c r="N87" s="857"/>
      <c r="O87" s="715"/>
      <c r="P87" s="701"/>
      <c r="Q87" s="793"/>
      <c r="R87" s="794"/>
    </row>
    <row r="88" spans="1:30" s="157" customFormat="1">
      <c r="A88" s="493"/>
      <c r="B88" s="185"/>
      <c r="C88" s="185"/>
      <c r="D88" s="185"/>
      <c r="E88" s="185"/>
      <c r="F88" s="185"/>
      <c r="G88" s="185"/>
      <c r="H88" s="185"/>
      <c r="I88" s="185"/>
      <c r="J88" s="780"/>
      <c r="K88" s="781"/>
      <c r="L88" s="833"/>
      <c r="M88" s="833"/>
      <c r="N88" s="687"/>
      <c r="O88" s="827" t="s">
        <v>24</v>
      </c>
      <c r="P88" s="828" t="s">
        <v>0</v>
      </c>
      <c r="Q88" s="829" t="s">
        <v>11</v>
      </c>
      <c r="R88" s="830">
        <f>SUM(R47:R87)</f>
        <v>2466602.94</v>
      </c>
    </row>
    <row r="89" spans="1:30" s="157" customFormat="1">
      <c r="A89" s="493"/>
      <c r="B89" s="185"/>
      <c r="C89" s="185"/>
      <c r="D89" s="185"/>
      <c r="E89" s="185"/>
      <c r="F89" s="185"/>
      <c r="G89" s="185"/>
      <c r="H89" s="185"/>
      <c r="I89" s="185"/>
      <c r="J89" s="780"/>
      <c r="K89" s="781"/>
      <c r="L89" s="833"/>
      <c r="M89" s="833"/>
      <c r="N89" s="687"/>
      <c r="O89" s="786" t="s">
        <v>25</v>
      </c>
      <c r="P89" s="828" t="s">
        <v>0</v>
      </c>
      <c r="Q89" s="829" t="s">
        <v>11</v>
      </c>
      <c r="R89" s="830">
        <f>R88</f>
        <v>2466602.94</v>
      </c>
    </row>
    <row r="90" spans="1:30" s="43" customFormat="1" ht="82.5" customHeight="1">
      <c r="A90" s="693" t="s">
        <v>617</v>
      </c>
      <c r="B90" s="1052" t="s">
        <v>616</v>
      </c>
      <c r="C90" s="1052"/>
      <c r="D90" s="1052"/>
      <c r="E90" s="1052"/>
      <c r="F90" s="1052"/>
      <c r="G90" s="1052"/>
      <c r="H90" s="1052"/>
      <c r="I90" s="1052"/>
      <c r="J90" s="1052"/>
      <c r="K90" s="1052"/>
      <c r="L90" s="1052"/>
      <c r="M90" s="1052"/>
      <c r="N90" s="1052"/>
      <c r="O90" s="1052"/>
      <c r="P90" s="200"/>
      <c r="Q90" s="200"/>
      <c r="R90" s="715"/>
    </row>
    <row r="91" spans="1:30" s="43" customFormat="1" ht="15.75">
      <c r="A91" s="693"/>
      <c r="B91" s="1055" t="s">
        <v>618</v>
      </c>
      <c r="C91" s="1055"/>
      <c r="D91" s="1055"/>
      <c r="E91" s="1055"/>
      <c r="F91" s="1055"/>
      <c r="G91" s="1055"/>
      <c r="H91" s="1055"/>
      <c r="I91" s="1055"/>
      <c r="J91" s="1055"/>
      <c r="K91" s="1055"/>
      <c r="L91" s="1055"/>
      <c r="M91" s="1055"/>
      <c r="N91" s="1055"/>
      <c r="O91" s="1055"/>
      <c r="P91" s="200"/>
      <c r="Q91" s="200"/>
      <c r="R91" s="715"/>
    </row>
    <row r="92" spans="1:30" s="43" customFormat="1" ht="15.75">
      <c r="A92" s="693"/>
      <c r="B92" s="998" t="s">
        <v>619</v>
      </c>
      <c r="C92" s="998"/>
      <c r="D92" s="998"/>
      <c r="E92" s="998"/>
      <c r="F92" s="998"/>
      <c r="G92" s="998"/>
      <c r="H92" s="998"/>
      <c r="I92" s="998"/>
      <c r="J92" s="998"/>
      <c r="K92" s="998"/>
      <c r="L92" s="998"/>
      <c r="M92" s="998"/>
      <c r="N92" s="998"/>
      <c r="O92" s="998"/>
      <c r="P92" s="200"/>
      <c r="Q92" s="200"/>
      <c r="R92" s="715"/>
    </row>
    <row r="93" spans="1:30" s="157" customFormat="1" ht="17.25">
      <c r="A93" s="693"/>
      <c r="B93" s="818" t="s">
        <v>620</v>
      </c>
      <c r="C93" s="710"/>
      <c r="D93" s="710"/>
      <c r="E93" s="710"/>
      <c r="F93" s="710"/>
      <c r="G93" s="710"/>
      <c r="H93" s="694">
        <v>1</v>
      </c>
      <c r="I93" s="244" t="s">
        <v>1</v>
      </c>
      <c r="J93" s="695">
        <v>159</v>
      </c>
      <c r="K93" s="244" t="s">
        <v>1</v>
      </c>
      <c r="L93" s="695">
        <v>3</v>
      </c>
      <c r="M93" s="696" t="s">
        <v>0</v>
      </c>
      <c r="N93" s="697">
        <f>L93*J93*H93</f>
        <v>477</v>
      </c>
      <c r="O93" s="715" t="s">
        <v>420</v>
      </c>
      <c r="P93" s="200"/>
      <c r="Q93" s="200"/>
      <c r="R93" s="715"/>
    </row>
    <row r="94" spans="1:30" s="157" customFormat="1" ht="17.25">
      <c r="A94" s="693"/>
      <c r="B94" s="818" t="s">
        <v>612</v>
      </c>
      <c r="C94" s="710"/>
      <c r="D94" s="710"/>
      <c r="E94" s="710"/>
      <c r="F94" s="710"/>
      <c r="G94" s="710"/>
      <c r="H94" s="694">
        <v>1</v>
      </c>
      <c r="I94" s="244" t="s">
        <v>1</v>
      </c>
      <c r="J94" s="695">
        <v>159</v>
      </c>
      <c r="K94" s="244" t="s">
        <v>1</v>
      </c>
      <c r="L94" s="695">
        <v>3</v>
      </c>
      <c r="M94" s="696" t="s">
        <v>0</v>
      </c>
      <c r="N94" s="697">
        <f>L94*J94*H94</f>
        <v>477</v>
      </c>
      <c r="O94" s="715" t="s">
        <v>420</v>
      </c>
      <c r="P94" s="200"/>
      <c r="Q94" s="200"/>
      <c r="R94" s="715"/>
    </row>
    <row r="95" spans="1:30" s="157" customFormat="1" ht="17.25" customHeight="1">
      <c r="A95" s="693"/>
      <c r="B95" s="818" t="s">
        <v>613</v>
      </c>
      <c r="C95" s="710"/>
      <c r="D95" s="710"/>
      <c r="E95" s="710"/>
      <c r="F95" s="710"/>
      <c r="G95" s="710"/>
      <c r="H95" s="694">
        <v>1</v>
      </c>
      <c r="I95" s="244" t="s">
        <v>1</v>
      </c>
      <c r="J95" s="695">
        <v>159</v>
      </c>
      <c r="K95" s="244" t="s">
        <v>1</v>
      </c>
      <c r="L95" s="695">
        <v>3</v>
      </c>
      <c r="M95" s="696" t="s">
        <v>0</v>
      </c>
      <c r="N95" s="697">
        <f>L95*J95*H95</f>
        <v>477</v>
      </c>
      <c r="O95" s="715" t="s">
        <v>420</v>
      </c>
      <c r="P95" s="698"/>
      <c r="Q95" s="699"/>
      <c r="R95" s="700"/>
    </row>
    <row r="96" spans="1:30" s="157" customFormat="1" ht="17.25" customHeight="1">
      <c r="A96" s="693"/>
      <c r="B96" s="819" t="s">
        <v>660</v>
      </c>
      <c r="C96" s="710"/>
      <c r="D96" s="710"/>
      <c r="E96" s="710"/>
      <c r="F96" s="710"/>
      <c r="G96" s="710"/>
      <c r="H96" s="694"/>
      <c r="I96" s="244"/>
      <c r="J96" s="695"/>
      <c r="K96" s="244"/>
      <c r="L96" s="695"/>
      <c r="M96" s="696"/>
      <c r="N96" s="697"/>
      <c r="O96" s="715"/>
      <c r="P96" s="698"/>
      <c r="Q96" s="699"/>
      <c r="R96" s="700"/>
    </row>
    <row r="97" spans="1:18" s="157" customFormat="1" ht="17.25">
      <c r="A97" s="693"/>
      <c r="B97" s="818" t="s">
        <v>621</v>
      </c>
      <c r="C97" s="710"/>
      <c r="D97" s="710"/>
      <c r="E97" s="710"/>
      <c r="F97" s="236">
        <v>3</v>
      </c>
      <c r="G97" s="716" t="s">
        <v>1</v>
      </c>
      <c r="H97" s="236">
        <v>20</v>
      </c>
      <c r="I97" s="244" t="s">
        <v>1</v>
      </c>
      <c r="J97" s="695">
        <v>1.1000000000000001</v>
      </c>
      <c r="K97" s="244" t="s">
        <v>1</v>
      </c>
      <c r="L97" s="695">
        <v>1.2</v>
      </c>
      <c r="M97" s="696" t="s">
        <v>0</v>
      </c>
      <c r="N97" s="697">
        <f>-1*F97*L97*J97*H97</f>
        <v>-79.2</v>
      </c>
      <c r="O97" s="715" t="s">
        <v>420</v>
      </c>
      <c r="P97" s="200"/>
      <c r="Q97" s="200"/>
      <c r="R97" s="715"/>
    </row>
    <row r="98" spans="1:18" s="157" customFormat="1" ht="17.25">
      <c r="A98" s="693"/>
      <c r="B98" s="818" t="s">
        <v>661</v>
      </c>
      <c r="C98" s="710"/>
      <c r="D98" s="710"/>
      <c r="E98" s="710"/>
      <c r="F98" s="236">
        <v>3</v>
      </c>
      <c r="G98" s="716" t="s">
        <v>1</v>
      </c>
      <c r="H98" s="236">
        <v>12</v>
      </c>
      <c r="I98" s="244" t="s">
        <v>1</v>
      </c>
      <c r="J98" s="695">
        <v>1</v>
      </c>
      <c r="K98" s="244" t="s">
        <v>1</v>
      </c>
      <c r="L98" s="695">
        <v>1.2</v>
      </c>
      <c r="M98" s="696" t="s">
        <v>0</v>
      </c>
      <c r="N98" s="697">
        <f>-1*F98*L98*J98*H98</f>
        <v>-43.199999999999996</v>
      </c>
      <c r="O98" s="715" t="s">
        <v>420</v>
      </c>
      <c r="P98" s="200"/>
      <c r="Q98" s="200"/>
      <c r="R98" s="715"/>
    </row>
    <row r="99" spans="1:18" s="157" customFormat="1" ht="17.25">
      <c r="A99" s="693"/>
      <c r="B99" s="818" t="s">
        <v>662</v>
      </c>
      <c r="C99" s="710"/>
      <c r="D99" s="710"/>
      <c r="E99" s="710"/>
      <c r="F99" s="236">
        <v>3</v>
      </c>
      <c r="G99" s="716" t="s">
        <v>1</v>
      </c>
      <c r="H99" s="236">
        <v>8</v>
      </c>
      <c r="I99" s="244" t="s">
        <v>1</v>
      </c>
      <c r="J99" s="695">
        <v>0.6</v>
      </c>
      <c r="K99" s="244" t="s">
        <v>1</v>
      </c>
      <c r="L99" s="695">
        <v>0.3</v>
      </c>
      <c r="M99" s="696" t="s">
        <v>0</v>
      </c>
      <c r="N99" s="697">
        <f>-1*F99*L99*J99*H99</f>
        <v>-4.3199999999999994</v>
      </c>
      <c r="O99" s="715" t="s">
        <v>420</v>
      </c>
      <c r="P99" s="200"/>
      <c r="Q99" s="200"/>
      <c r="R99" s="715"/>
    </row>
    <row r="100" spans="1:18" s="157" customFormat="1" ht="17.25">
      <c r="A100" s="493"/>
      <c r="B100" s="1002"/>
      <c r="C100" s="1002"/>
      <c r="D100" s="1002"/>
      <c r="E100" s="1002"/>
      <c r="F100" s="185"/>
      <c r="G100" s="185"/>
      <c r="H100" s="185"/>
      <c r="I100" s="185"/>
      <c r="J100" s="185"/>
      <c r="K100" s="1046" t="s">
        <v>8</v>
      </c>
      <c r="L100" s="1046"/>
      <c r="M100" s="790" t="s">
        <v>0</v>
      </c>
      <c r="N100" s="235">
        <f>SUM(N93:N99)</f>
        <v>1304.28</v>
      </c>
      <c r="O100" s="244" t="s">
        <v>420</v>
      </c>
      <c r="P100" s="185"/>
      <c r="Q100" s="185"/>
      <c r="R100" s="244"/>
    </row>
    <row r="101" spans="1:18" s="157" customFormat="1" ht="17.25">
      <c r="A101" s="493"/>
      <c r="B101" s="185"/>
      <c r="C101" s="185"/>
      <c r="D101" s="185"/>
      <c r="E101" s="185"/>
      <c r="F101" s="185"/>
      <c r="G101" s="185"/>
      <c r="H101" s="185"/>
      <c r="I101" s="185"/>
      <c r="J101" s="780" t="s">
        <v>350</v>
      </c>
      <c r="K101" s="781" t="s">
        <v>11</v>
      </c>
      <c r="L101" s="1047">
        <v>873</v>
      </c>
      <c r="M101" s="1047"/>
      <c r="N101" s="687" t="s">
        <v>663</v>
      </c>
      <c r="O101" s="715"/>
      <c r="P101" s="701" t="s">
        <v>0</v>
      </c>
      <c r="Q101" s="793" t="s">
        <v>11</v>
      </c>
      <c r="R101" s="794">
        <f>ROUND(N100*L101,0)</f>
        <v>1138636</v>
      </c>
    </row>
    <row r="102" spans="1:18" s="157" customFormat="1">
      <c r="A102" s="493"/>
      <c r="B102" s="185"/>
      <c r="C102" s="185"/>
      <c r="D102" s="185"/>
      <c r="E102" s="185"/>
      <c r="F102" s="185"/>
      <c r="G102" s="185"/>
      <c r="H102" s="185"/>
      <c r="I102" s="185"/>
      <c r="J102" s="780"/>
      <c r="K102" s="781"/>
      <c r="L102" s="781"/>
      <c r="M102" s="781"/>
      <c r="N102" s="687"/>
      <c r="O102" s="715"/>
      <c r="P102" s="701"/>
      <c r="Q102" s="793"/>
      <c r="R102" s="794"/>
    </row>
    <row r="103" spans="1:18" s="157" customFormat="1" ht="138.75" customHeight="1">
      <c r="A103" s="693" t="s">
        <v>611</v>
      </c>
      <c r="B103" s="1052" t="s">
        <v>594</v>
      </c>
      <c r="C103" s="1052"/>
      <c r="D103" s="1052"/>
      <c r="E103" s="1052"/>
      <c r="F103" s="1052"/>
      <c r="G103" s="1052"/>
      <c r="H103" s="1052"/>
      <c r="I103" s="1052"/>
      <c r="J103" s="1052"/>
      <c r="K103" s="1052"/>
      <c r="L103" s="1052"/>
      <c r="M103" s="1052"/>
      <c r="N103" s="1052"/>
      <c r="O103" s="1052"/>
      <c r="P103" s="200"/>
      <c r="Q103" s="200"/>
      <c r="R103" s="715"/>
    </row>
    <row r="104" spans="1:18" s="157" customFormat="1">
      <c r="A104" s="693"/>
      <c r="B104" s="818" t="s">
        <v>620</v>
      </c>
      <c r="C104" s="710"/>
      <c r="D104" s="710"/>
      <c r="E104" s="710"/>
      <c r="F104" s="710"/>
      <c r="G104" s="710"/>
      <c r="H104" s="694"/>
      <c r="I104" s="244"/>
      <c r="J104" s="695"/>
      <c r="K104" s="244"/>
      <c r="L104" s="695"/>
      <c r="M104" s="696"/>
      <c r="N104" s="697"/>
      <c r="O104" s="715"/>
      <c r="P104" s="200"/>
      <c r="Q104" s="200"/>
      <c r="R104" s="715"/>
    </row>
    <row r="105" spans="1:18" s="157" customFormat="1" ht="17.25">
      <c r="A105" s="693"/>
      <c r="B105" s="818" t="s">
        <v>661</v>
      </c>
      <c r="C105" s="710"/>
      <c r="D105" s="710"/>
      <c r="E105" s="710"/>
      <c r="F105" s="710"/>
      <c r="G105" s="710"/>
      <c r="H105" s="694">
        <v>10</v>
      </c>
      <c r="I105" s="244" t="s">
        <v>1</v>
      </c>
      <c r="J105" s="695">
        <v>1</v>
      </c>
      <c r="K105" s="244" t="s">
        <v>1</v>
      </c>
      <c r="L105" s="695">
        <v>1.2</v>
      </c>
      <c r="M105" s="696" t="s">
        <v>0</v>
      </c>
      <c r="N105" s="697">
        <f>L105*J105*H105</f>
        <v>12</v>
      </c>
      <c r="O105" s="715" t="s">
        <v>420</v>
      </c>
      <c r="P105" s="200"/>
      <c r="Q105" s="200"/>
      <c r="R105" s="715"/>
    </row>
    <row r="106" spans="1:18" s="157" customFormat="1" ht="17.25">
      <c r="A106" s="693"/>
      <c r="B106" s="818" t="s">
        <v>662</v>
      </c>
      <c r="C106" s="710"/>
      <c r="D106" s="710"/>
      <c r="E106" s="710"/>
      <c r="F106" s="710"/>
      <c r="G106" s="710"/>
      <c r="H106" s="694">
        <v>8</v>
      </c>
      <c r="I106" s="244" t="s">
        <v>1</v>
      </c>
      <c r="J106" s="695">
        <v>0.6</v>
      </c>
      <c r="K106" s="244" t="s">
        <v>1</v>
      </c>
      <c r="L106" s="695">
        <v>0.3</v>
      </c>
      <c r="M106" s="696" t="s">
        <v>0</v>
      </c>
      <c r="N106" s="697">
        <f>L106*J106*H106</f>
        <v>1.44</v>
      </c>
      <c r="O106" s="715" t="s">
        <v>420</v>
      </c>
      <c r="P106" s="200"/>
      <c r="Q106" s="200"/>
      <c r="R106" s="715"/>
    </row>
    <row r="107" spans="1:18" s="157" customFormat="1">
      <c r="A107" s="693"/>
      <c r="B107" s="818" t="s">
        <v>612</v>
      </c>
      <c r="C107" s="710"/>
      <c r="D107" s="710"/>
      <c r="E107" s="710"/>
      <c r="F107" s="710"/>
      <c r="G107" s="710"/>
      <c r="H107" s="694"/>
      <c r="I107" s="244"/>
      <c r="J107" s="695"/>
      <c r="K107" s="244"/>
      <c r="L107" s="695"/>
      <c r="M107" s="696"/>
      <c r="N107" s="697"/>
      <c r="O107" s="715"/>
      <c r="P107" s="200"/>
      <c r="Q107" s="200"/>
      <c r="R107" s="715"/>
    </row>
    <row r="108" spans="1:18" s="157" customFormat="1" ht="17.25">
      <c r="A108" s="693"/>
      <c r="B108" s="818" t="s">
        <v>661</v>
      </c>
      <c r="C108" s="710"/>
      <c r="D108" s="710"/>
      <c r="E108" s="710"/>
      <c r="F108" s="710"/>
      <c r="G108" s="710"/>
      <c r="H108" s="694">
        <v>12</v>
      </c>
      <c r="I108" s="244" t="s">
        <v>1</v>
      </c>
      <c r="J108" s="695">
        <v>1</v>
      </c>
      <c r="K108" s="244" t="s">
        <v>1</v>
      </c>
      <c r="L108" s="695">
        <v>1.2</v>
      </c>
      <c r="M108" s="696" t="s">
        <v>0</v>
      </c>
      <c r="N108" s="697">
        <f>L108*J108*H108</f>
        <v>14.399999999999999</v>
      </c>
      <c r="O108" s="715" t="s">
        <v>420</v>
      </c>
      <c r="P108" s="200"/>
      <c r="Q108" s="200"/>
      <c r="R108" s="715"/>
    </row>
    <row r="109" spans="1:18" s="157" customFormat="1" ht="17.25">
      <c r="A109" s="693"/>
      <c r="B109" s="818" t="s">
        <v>662</v>
      </c>
      <c r="C109" s="710"/>
      <c r="D109" s="710"/>
      <c r="E109" s="710"/>
      <c r="F109" s="710"/>
      <c r="G109" s="710"/>
      <c r="H109" s="694">
        <v>8</v>
      </c>
      <c r="I109" s="244" t="s">
        <v>1</v>
      </c>
      <c r="J109" s="695">
        <v>0.6</v>
      </c>
      <c r="K109" s="244" t="s">
        <v>1</v>
      </c>
      <c r="L109" s="695">
        <v>0.3</v>
      </c>
      <c r="M109" s="696" t="s">
        <v>0</v>
      </c>
      <c r="N109" s="697">
        <f>L109*J109*H109</f>
        <v>1.44</v>
      </c>
      <c r="O109" s="715" t="s">
        <v>420</v>
      </c>
      <c r="P109" s="200"/>
      <c r="Q109" s="200"/>
      <c r="R109" s="715"/>
    </row>
    <row r="110" spans="1:18" s="157" customFormat="1" ht="17.25" customHeight="1">
      <c r="A110" s="693"/>
      <c r="B110" s="818" t="s">
        <v>613</v>
      </c>
      <c r="C110" s="710"/>
      <c r="D110" s="710"/>
      <c r="E110" s="710"/>
      <c r="F110" s="710"/>
      <c r="G110" s="710"/>
      <c r="H110" s="694"/>
      <c r="I110" s="244"/>
      <c r="J110" s="695"/>
      <c r="K110" s="244"/>
      <c r="L110" s="695"/>
      <c r="M110" s="696"/>
      <c r="N110" s="697"/>
      <c r="O110" s="715"/>
      <c r="P110" s="698"/>
      <c r="Q110" s="699"/>
      <c r="R110" s="700"/>
    </row>
    <row r="111" spans="1:18" s="157" customFormat="1" ht="17.25">
      <c r="A111" s="693"/>
      <c r="B111" s="818" t="s">
        <v>661</v>
      </c>
      <c r="C111" s="710"/>
      <c r="D111" s="710"/>
      <c r="E111" s="710"/>
      <c r="F111" s="710"/>
      <c r="G111" s="710"/>
      <c r="H111" s="694">
        <v>12</v>
      </c>
      <c r="I111" s="244" t="s">
        <v>1</v>
      </c>
      <c r="J111" s="695">
        <v>1</v>
      </c>
      <c r="K111" s="244" t="s">
        <v>1</v>
      </c>
      <c r="L111" s="695">
        <v>1.2</v>
      </c>
      <c r="M111" s="696" t="s">
        <v>0</v>
      </c>
      <c r="N111" s="697">
        <f>L111*J111*H111</f>
        <v>14.399999999999999</v>
      </c>
      <c r="O111" s="715" t="s">
        <v>420</v>
      </c>
      <c r="P111" s="200"/>
      <c r="Q111" s="200"/>
      <c r="R111" s="715"/>
    </row>
    <row r="112" spans="1:18" s="157" customFormat="1" ht="17.25">
      <c r="A112" s="693"/>
      <c r="B112" s="818" t="s">
        <v>662</v>
      </c>
      <c r="C112" s="710"/>
      <c r="D112" s="710"/>
      <c r="E112" s="710"/>
      <c r="F112" s="710"/>
      <c r="G112" s="710"/>
      <c r="H112" s="694">
        <v>8</v>
      </c>
      <c r="I112" s="244" t="s">
        <v>1</v>
      </c>
      <c r="J112" s="695">
        <v>0.6</v>
      </c>
      <c r="K112" s="244" t="s">
        <v>1</v>
      </c>
      <c r="L112" s="695">
        <v>0.3</v>
      </c>
      <c r="M112" s="696" t="s">
        <v>0</v>
      </c>
      <c r="N112" s="697">
        <f>L112*J112*H112</f>
        <v>1.44</v>
      </c>
      <c r="O112" s="715" t="s">
        <v>420</v>
      </c>
      <c r="P112" s="200"/>
      <c r="Q112" s="200"/>
      <c r="R112" s="715"/>
    </row>
    <row r="113" spans="1:24" s="43" customFormat="1" ht="17.25" customHeight="1">
      <c r="A113" s="707"/>
      <c r="B113" s="1063" t="s">
        <v>622</v>
      </c>
      <c r="C113" s="1063"/>
      <c r="D113" s="1063"/>
      <c r="E113" s="1063"/>
      <c r="F113" s="236">
        <v>1</v>
      </c>
      <c r="G113" s="716" t="s">
        <v>1</v>
      </c>
      <c r="H113" s="236">
        <v>4</v>
      </c>
      <c r="I113" s="716" t="s">
        <v>1</v>
      </c>
      <c r="J113" s="233">
        <v>7.2</v>
      </c>
      <c r="K113" s="716" t="s">
        <v>1</v>
      </c>
      <c r="L113" s="233">
        <v>1</v>
      </c>
      <c r="M113" s="701" t="s">
        <v>0</v>
      </c>
      <c r="N113" s="702">
        <f t="shared" ref="N113" si="11">ROUND(F113*H113*J113*L113,2)</f>
        <v>28.8</v>
      </c>
      <c r="O113" s="706" t="s">
        <v>420</v>
      </c>
      <c r="P113" s="157"/>
      <c r="Q113" s="157"/>
      <c r="R113" s="716"/>
    </row>
    <row r="114" spans="1:24" s="157" customFormat="1" ht="17.25">
      <c r="A114" s="493"/>
      <c r="B114" s="1002"/>
      <c r="C114" s="1002"/>
      <c r="D114" s="1002"/>
      <c r="E114" s="1002"/>
      <c r="F114" s="185"/>
      <c r="G114" s="185"/>
      <c r="H114" s="185"/>
      <c r="I114" s="185"/>
      <c r="J114" s="185"/>
      <c r="K114" s="1046" t="s">
        <v>8</v>
      </c>
      <c r="L114" s="1046"/>
      <c r="M114" s="790" t="s">
        <v>0</v>
      </c>
      <c r="N114" s="235">
        <f>SUM(N104:N113)</f>
        <v>73.919999999999987</v>
      </c>
      <c r="O114" s="244" t="s">
        <v>420</v>
      </c>
      <c r="P114" s="185"/>
      <c r="Q114" s="185"/>
      <c r="R114" s="244"/>
    </row>
    <row r="115" spans="1:24" s="157" customFormat="1" ht="17.25">
      <c r="A115" s="493"/>
      <c r="B115" s="185"/>
      <c r="C115" s="185"/>
      <c r="D115" s="185"/>
      <c r="E115" s="185"/>
      <c r="F115" s="185"/>
      <c r="G115" s="185"/>
      <c r="H115" s="185"/>
      <c r="I115" s="185"/>
      <c r="J115" s="780" t="s">
        <v>350</v>
      </c>
      <c r="K115" s="781" t="s">
        <v>11</v>
      </c>
      <c r="L115" s="1047">
        <v>3291</v>
      </c>
      <c r="M115" s="1047"/>
      <c r="N115" s="820" t="s">
        <v>663</v>
      </c>
      <c r="O115" s="715"/>
      <c r="P115" s="701" t="s">
        <v>0</v>
      </c>
      <c r="Q115" s="793" t="s">
        <v>11</v>
      </c>
      <c r="R115" s="794">
        <f>ROUND(N114*L115,0)</f>
        <v>243271</v>
      </c>
    </row>
    <row r="116" spans="1:24">
      <c r="B116" s="681"/>
      <c r="C116" s="681"/>
      <c r="D116" s="681"/>
      <c r="E116" s="681"/>
      <c r="F116" s="681"/>
      <c r="G116" s="681"/>
      <c r="H116" s="681"/>
      <c r="I116" s="681"/>
      <c r="J116" s="684"/>
      <c r="K116" s="686"/>
      <c r="L116" s="686"/>
      <c r="M116" s="686"/>
      <c r="N116" s="726"/>
      <c r="O116" s="691"/>
      <c r="P116" s="690"/>
      <c r="Q116" s="723"/>
      <c r="R116" s="724"/>
    </row>
    <row r="117" spans="1:24">
      <c r="B117" s="681"/>
      <c r="C117" s="681"/>
      <c r="D117" s="681"/>
      <c r="E117" s="681"/>
      <c r="F117" s="681"/>
      <c r="G117" s="681"/>
      <c r="H117" s="681"/>
      <c r="I117" s="681"/>
      <c r="J117" s="684"/>
      <c r="K117" s="686"/>
      <c r="L117" s="686"/>
      <c r="M117" s="686"/>
      <c r="N117" s="726"/>
      <c r="O117" s="691"/>
      <c r="P117" s="690"/>
      <c r="Q117" s="723"/>
      <c r="R117" s="724"/>
    </row>
    <row r="118" spans="1:24">
      <c r="B118" s="681"/>
      <c r="C118" s="681"/>
      <c r="D118" s="681"/>
      <c r="E118" s="681"/>
      <c r="F118" s="681"/>
      <c r="G118" s="681"/>
      <c r="H118" s="681"/>
      <c r="I118" s="681"/>
      <c r="J118" s="684"/>
      <c r="K118" s="686"/>
      <c r="L118" s="686"/>
      <c r="M118" s="686"/>
      <c r="N118" s="726"/>
      <c r="O118" s="691"/>
      <c r="P118" s="690"/>
      <c r="Q118" s="723"/>
      <c r="R118" s="724"/>
    </row>
    <row r="119" spans="1:24">
      <c r="B119" s="681"/>
      <c r="C119" s="681"/>
      <c r="D119" s="681"/>
      <c r="E119" s="681"/>
      <c r="F119" s="681"/>
      <c r="G119" s="681"/>
      <c r="H119" s="681"/>
      <c r="I119" s="681"/>
      <c r="J119" s="684"/>
      <c r="K119" s="686"/>
      <c r="L119" s="686"/>
      <c r="M119" s="686"/>
      <c r="N119" s="726"/>
      <c r="O119" s="691"/>
      <c r="P119" s="690"/>
      <c r="Q119" s="723"/>
      <c r="R119" s="724"/>
    </row>
    <row r="120" spans="1:24">
      <c r="B120" s="681"/>
      <c r="C120" s="681"/>
      <c r="D120" s="681"/>
      <c r="E120" s="681"/>
      <c r="F120" s="681"/>
      <c r="G120" s="681"/>
      <c r="H120" s="681"/>
      <c r="I120" s="681"/>
      <c r="J120" s="684"/>
      <c r="K120" s="686"/>
      <c r="L120" s="686"/>
      <c r="M120" s="686"/>
      <c r="N120" s="726"/>
      <c r="O120" s="691"/>
      <c r="P120" s="690"/>
      <c r="Q120" s="723"/>
      <c r="R120" s="724"/>
    </row>
    <row r="121" spans="1:24">
      <c r="B121" s="681"/>
      <c r="C121" s="681"/>
      <c r="D121" s="681"/>
      <c r="E121" s="681"/>
      <c r="F121" s="681"/>
      <c r="G121" s="681"/>
      <c r="H121" s="681"/>
      <c r="I121" s="681"/>
      <c r="J121" s="684"/>
      <c r="K121" s="686"/>
      <c r="L121" s="686"/>
      <c r="M121" s="686"/>
      <c r="N121" s="726"/>
      <c r="O121" s="691"/>
      <c r="P121" s="690"/>
      <c r="Q121" s="723"/>
      <c r="R121" s="724"/>
    </row>
    <row r="122" spans="1:24">
      <c r="B122" s="681"/>
      <c r="C122" s="681"/>
      <c r="D122" s="681"/>
      <c r="E122" s="681"/>
      <c r="F122" s="681"/>
      <c r="G122" s="681"/>
      <c r="H122" s="681"/>
      <c r="I122" s="681"/>
      <c r="J122" s="684"/>
      <c r="K122" s="686"/>
      <c r="L122" s="686"/>
      <c r="M122" s="686"/>
      <c r="N122" s="726"/>
      <c r="O122" s="691"/>
      <c r="P122" s="690"/>
      <c r="Q122" s="723"/>
      <c r="R122" s="724"/>
    </row>
    <row r="123" spans="1:24" s="157" customFormat="1">
      <c r="A123" s="860"/>
      <c r="B123" s="185"/>
      <c r="C123" s="185"/>
      <c r="D123" s="185"/>
      <c r="E123" s="185"/>
      <c r="F123" s="185"/>
      <c r="G123" s="185"/>
      <c r="H123" s="185"/>
      <c r="I123" s="185"/>
      <c r="J123" s="780"/>
      <c r="K123" s="858"/>
      <c r="L123" s="833"/>
      <c r="M123" s="833"/>
      <c r="N123" s="857"/>
      <c r="O123" s="827" t="s">
        <v>24</v>
      </c>
      <c r="P123" s="828" t="s">
        <v>0</v>
      </c>
      <c r="Q123" s="829" t="s">
        <v>11</v>
      </c>
      <c r="R123" s="830">
        <f>SUM(R89:R122)</f>
        <v>3848509.94</v>
      </c>
    </row>
    <row r="124" spans="1:24" s="157" customFormat="1">
      <c r="A124" s="860"/>
      <c r="B124" s="185"/>
      <c r="C124" s="185"/>
      <c r="D124" s="185"/>
      <c r="E124" s="185"/>
      <c r="F124" s="185"/>
      <c r="G124" s="185"/>
      <c r="H124" s="185"/>
      <c r="I124" s="185"/>
      <c r="J124" s="780"/>
      <c r="K124" s="858"/>
      <c r="L124" s="833"/>
      <c r="M124" s="833"/>
      <c r="N124" s="857"/>
      <c r="O124" s="786" t="s">
        <v>25</v>
      </c>
      <c r="P124" s="828" t="s">
        <v>0</v>
      </c>
      <c r="Q124" s="829" t="s">
        <v>11</v>
      </c>
      <c r="R124" s="830">
        <f>R123</f>
        <v>3848509.94</v>
      </c>
    </row>
    <row r="125" spans="1:24" s="43" customFormat="1" ht="128.25" customHeight="1">
      <c r="A125" s="693" t="s">
        <v>627</v>
      </c>
      <c r="B125" s="998" t="s">
        <v>625</v>
      </c>
      <c r="C125" s="998"/>
      <c r="D125" s="998"/>
      <c r="E125" s="998"/>
      <c r="F125" s="998"/>
      <c r="G125" s="998"/>
      <c r="H125" s="998"/>
      <c r="I125" s="998"/>
      <c r="J125" s="998"/>
      <c r="K125" s="998"/>
      <c r="L125" s="998"/>
      <c r="M125" s="998"/>
      <c r="N125" s="998"/>
      <c r="O125" s="998"/>
      <c r="P125" s="701"/>
      <c r="Q125" s="793"/>
      <c r="R125" s="794"/>
    </row>
    <row r="126" spans="1:24" s="43" customFormat="1" ht="15.75">
      <c r="A126" s="693"/>
      <c r="B126" s="998" t="s">
        <v>647</v>
      </c>
      <c r="C126" s="998"/>
      <c r="D126" s="998"/>
      <c r="E126" s="998"/>
      <c r="F126" s="998"/>
      <c r="G126" s="998"/>
      <c r="H126" s="998"/>
      <c r="I126" s="998"/>
      <c r="J126" s="998"/>
      <c r="K126" s="710"/>
      <c r="L126" s="710"/>
      <c r="M126" s="710"/>
      <c r="N126" s="710"/>
      <c r="O126" s="710"/>
      <c r="P126" s="701"/>
      <c r="Q126" s="793"/>
      <c r="R126" s="794"/>
    </row>
    <row r="127" spans="1:24" s="157" customFormat="1" ht="15" customHeight="1">
      <c r="B127" s="1054" t="s">
        <v>620</v>
      </c>
      <c r="C127" s="1054"/>
      <c r="D127" s="1054"/>
      <c r="E127" s="1054"/>
      <c r="F127" s="1054"/>
      <c r="G127" s="1054"/>
      <c r="H127" s="185"/>
      <c r="I127" s="185"/>
      <c r="J127" s="780"/>
      <c r="K127" s="781"/>
      <c r="L127" s="781"/>
      <c r="M127" s="781"/>
      <c r="N127" s="687"/>
      <c r="O127" s="715"/>
      <c r="P127" s="698"/>
      <c r="Q127" s="699"/>
      <c r="R127" s="700"/>
    </row>
    <row r="128" spans="1:24" s="157" customFormat="1" ht="17.25">
      <c r="A128" s="693"/>
      <c r="B128" s="246"/>
      <c r="C128" s="246">
        <v>1</v>
      </c>
      <c r="D128" s="246"/>
      <c r="E128" s="246" t="s">
        <v>1</v>
      </c>
      <c r="F128" s="236">
        <v>18</v>
      </c>
      <c r="G128" s="716" t="s">
        <v>1</v>
      </c>
      <c r="H128" s="233">
        <v>5.3</v>
      </c>
      <c r="I128" s="716" t="s">
        <v>1</v>
      </c>
      <c r="J128" s="233">
        <v>0.08</v>
      </c>
      <c r="K128" s="716" t="s">
        <v>1</v>
      </c>
      <c r="L128" s="797">
        <v>0.13</v>
      </c>
      <c r="M128" s="776" t="s">
        <v>0</v>
      </c>
      <c r="N128" s="702">
        <f>C128*F128*H128*J128*L128</f>
        <v>0.99216000000000004</v>
      </c>
      <c r="O128" s="715" t="s">
        <v>420</v>
      </c>
      <c r="P128" s="698"/>
      <c r="Q128" s="699"/>
      <c r="R128" s="700"/>
      <c r="T128" s="168"/>
      <c r="X128" s="361"/>
    </row>
    <row r="129" spans="1:24" s="157" customFormat="1" ht="15" customHeight="1">
      <c r="B129" s="1054" t="s">
        <v>612</v>
      </c>
      <c r="C129" s="1054"/>
      <c r="D129" s="1054"/>
      <c r="E129" s="1054"/>
      <c r="F129" s="1054"/>
      <c r="G129" s="1054"/>
      <c r="H129" s="185"/>
      <c r="I129" s="185"/>
      <c r="J129" s="780"/>
      <c r="K129" s="781"/>
      <c r="L129" s="781"/>
      <c r="M129" s="204"/>
      <c r="N129" s="822"/>
      <c r="O129" s="715"/>
      <c r="P129" s="698"/>
      <c r="Q129" s="699"/>
      <c r="R129" s="700"/>
    </row>
    <row r="130" spans="1:24" s="157" customFormat="1" ht="17.25">
      <c r="A130" s="693"/>
      <c r="B130" s="246"/>
      <c r="C130" s="246">
        <v>1</v>
      </c>
      <c r="D130" s="246"/>
      <c r="E130" s="246" t="s">
        <v>1</v>
      </c>
      <c r="F130" s="236">
        <v>20</v>
      </c>
      <c r="G130" s="716" t="s">
        <v>1</v>
      </c>
      <c r="H130" s="233">
        <v>5.3</v>
      </c>
      <c r="I130" s="716" t="s">
        <v>1</v>
      </c>
      <c r="J130" s="233">
        <v>0.08</v>
      </c>
      <c r="K130" s="716" t="s">
        <v>1</v>
      </c>
      <c r="L130" s="797">
        <v>0.13</v>
      </c>
      <c r="M130" s="776" t="s">
        <v>0</v>
      </c>
      <c r="N130" s="702">
        <f>C130*F130*H130*J130*L130</f>
        <v>1.1024</v>
      </c>
      <c r="O130" s="715" t="s">
        <v>420</v>
      </c>
      <c r="P130" s="698"/>
      <c r="Q130" s="699"/>
      <c r="R130" s="700"/>
      <c r="T130" s="168"/>
      <c r="X130" s="361"/>
    </row>
    <row r="131" spans="1:24" s="157" customFormat="1" ht="15" customHeight="1">
      <c r="B131" s="1054" t="s">
        <v>613</v>
      </c>
      <c r="C131" s="1054"/>
      <c r="D131" s="1054"/>
      <c r="E131" s="1054"/>
      <c r="F131" s="1054"/>
      <c r="G131" s="1054"/>
      <c r="H131" s="1054"/>
      <c r="I131" s="185"/>
      <c r="J131" s="780"/>
      <c r="K131" s="781"/>
      <c r="L131" s="781"/>
      <c r="M131" s="204"/>
      <c r="N131" s="822"/>
      <c r="O131" s="715"/>
      <c r="P131" s="698"/>
      <c r="Q131" s="699"/>
      <c r="R131" s="700"/>
    </row>
    <row r="132" spans="1:24" s="157" customFormat="1" ht="17.25">
      <c r="A132" s="693"/>
      <c r="B132" s="246"/>
      <c r="C132" s="246">
        <v>1</v>
      </c>
      <c r="D132" s="246"/>
      <c r="E132" s="246" t="s">
        <v>1</v>
      </c>
      <c r="F132" s="236">
        <v>20</v>
      </c>
      <c r="G132" s="716" t="s">
        <v>1</v>
      </c>
      <c r="H132" s="233">
        <v>5.3</v>
      </c>
      <c r="I132" s="716" t="s">
        <v>1</v>
      </c>
      <c r="J132" s="233">
        <v>0.08</v>
      </c>
      <c r="K132" s="716" t="s">
        <v>1</v>
      </c>
      <c r="L132" s="797">
        <v>0.13</v>
      </c>
      <c r="M132" s="776" t="s">
        <v>0</v>
      </c>
      <c r="N132" s="702">
        <f>C132*F132*H132*J132*L132</f>
        <v>1.1024</v>
      </c>
      <c r="O132" s="715" t="s">
        <v>420</v>
      </c>
      <c r="P132" s="698"/>
      <c r="Q132" s="699"/>
      <c r="R132" s="700"/>
      <c r="T132" s="168"/>
      <c r="X132" s="361"/>
    </row>
    <row r="133" spans="1:24" s="157" customFormat="1" ht="17.25">
      <c r="A133" s="493"/>
      <c r="B133" s="777"/>
      <c r="C133" s="777"/>
      <c r="D133" s="777"/>
      <c r="E133" s="777"/>
      <c r="F133" s="777"/>
      <c r="G133" s="777"/>
      <c r="H133" s="777"/>
      <c r="I133" s="701"/>
      <c r="J133" s="236"/>
      <c r="K133" s="716"/>
      <c r="L133" s="233" t="s">
        <v>8</v>
      </c>
      <c r="M133" s="776" t="s">
        <v>0</v>
      </c>
      <c r="N133" s="702">
        <f>SUM(N128:N132)*1</f>
        <v>3.1969599999999998</v>
      </c>
      <c r="O133" s="715" t="s">
        <v>420</v>
      </c>
      <c r="P133" s="200"/>
      <c r="Q133" s="185"/>
      <c r="R133" s="244"/>
    </row>
    <row r="134" spans="1:24" s="43" customFormat="1" ht="17.25">
      <c r="A134" s="493"/>
      <c r="B134" s="711"/>
      <c r="C134" s="711"/>
      <c r="D134" s="711"/>
      <c r="E134" s="711"/>
      <c r="F134" s="716"/>
      <c r="G134" s="716"/>
      <c r="H134" s="233"/>
      <c r="I134" s="716"/>
      <c r="J134" s="780"/>
      <c r="K134" s="1046" t="s">
        <v>8</v>
      </c>
      <c r="L134" s="1046"/>
      <c r="M134" s="790" t="s">
        <v>0</v>
      </c>
      <c r="N134" s="235">
        <f>SUM(N128:N133)</f>
        <v>6.3939199999999996</v>
      </c>
      <c r="O134" s="244" t="s">
        <v>420</v>
      </c>
      <c r="P134" s="701"/>
      <c r="Q134" s="793"/>
      <c r="R134" s="794"/>
    </row>
    <row r="135" spans="1:24" s="43" customFormat="1" ht="17.25">
      <c r="A135" s="493"/>
      <c r="B135" s="711"/>
      <c r="C135" s="711"/>
      <c r="D135" s="711"/>
      <c r="E135" s="711"/>
      <c r="F135" s="716"/>
      <c r="G135" s="716"/>
      <c r="H135" s="233"/>
      <c r="I135" s="716"/>
      <c r="J135" s="780" t="s">
        <v>350</v>
      </c>
      <c r="K135" s="781" t="s">
        <v>11</v>
      </c>
      <c r="L135" s="1047">
        <v>77129</v>
      </c>
      <c r="M135" s="1047"/>
      <c r="N135" s="687" t="s">
        <v>663</v>
      </c>
      <c r="O135" s="715"/>
      <c r="P135" s="701" t="s">
        <v>0</v>
      </c>
      <c r="Q135" s="793" t="s">
        <v>11</v>
      </c>
      <c r="R135" s="794">
        <f>ROUND(N134*L135,0)</f>
        <v>493157</v>
      </c>
    </row>
    <row r="136" spans="1:24">
      <c r="B136" s="681"/>
      <c r="C136" s="681"/>
      <c r="D136" s="681"/>
      <c r="E136" s="681"/>
      <c r="F136" s="681"/>
      <c r="G136" s="681"/>
      <c r="H136" s="681"/>
      <c r="I136" s="681"/>
      <c r="J136" s="684"/>
      <c r="K136" s="686"/>
      <c r="L136" s="686"/>
      <c r="M136" s="686"/>
      <c r="N136" s="726"/>
      <c r="O136" s="691"/>
      <c r="P136" s="690"/>
      <c r="Q136" s="723"/>
      <c r="R136" s="724"/>
    </row>
    <row r="137" spans="1:24" s="43" customFormat="1" ht="64.5" customHeight="1">
      <c r="A137" s="693" t="s">
        <v>650</v>
      </c>
      <c r="B137" s="998" t="s">
        <v>626</v>
      </c>
      <c r="C137" s="998"/>
      <c r="D137" s="998"/>
      <c r="E137" s="998"/>
      <c r="F137" s="998"/>
      <c r="G137" s="998"/>
      <c r="H137" s="998"/>
      <c r="I137" s="998"/>
      <c r="J137" s="998"/>
      <c r="K137" s="998"/>
      <c r="L137" s="998"/>
      <c r="M137" s="998"/>
      <c r="N137" s="998"/>
      <c r="O137" s="998"/>
      <c r="P137" s="701"/>
      <c r="Q137" s="793"/>
      <c r="R137" s="794"/>
    </row>
    <row r="138" spans="1:24" s="43" customFormat="1" ht="15.75">
      <c r="A138" s="693"/>
      <c r="B138" s="998" t="s">
        <v>648</v>
      </c>
      <c r="C138" s="998"/>
      <c r="D138" s="998"/>
      <c r="E138" s="998"/>
      <c r="F138" s="998"/>
      <c r="G138" s="998"/>
      <c r="H138" s="998"/>
      <c r="I138" s="998"/>
      <c r="J138" s="998"/>
      <c r="K138" s="710"/>
      <c r="L138" s="710"/>
      <c r="M138" s="710"/>
      <c r="N138" s="710"/>
      <c r="O138" s="710"/>
      <c r="P138" s="701"/>
      <c r="Q138" s="793"/>
      <c r="R138" s="794"/>
    </row>
    <row r="139" spans="1:24" s="43" customFormat="1" ht="15.75">
      <c r="A139" s="693"/>
      <c r="B139" s="998" t="s">
        <v>649</v>
      </c>
      <c r="C139" s="998"/>
      <c r="D139" s="998"/>
      <c r="E139" s="998"/>
      <c r="F139" s="998"/>
      <c r="G139" s="998"/>
      <c r="H139" s="998"/>
      <c r="I139" s="998"/>
      <c r="J139" s="998"/>
      <c r="K139" s="710"/>
      <c r="L139" s="710"/>
      <c r="M139" s="710"/>
      <c r="N139" s="710"/>
      <c r="O139" s="710"/>
      <c r="P139" s="701"/>
      <c r="Q139" s="793"/>
      <c r="R139" s="794"/>
    </row>
    <row r="140" spans="1:24" s="157" customFormat="1" ht="17.25">
      <c r="A140" s="693"/>
      <c r="B140" s="818" t="s">
        <v>620</v>
      </c>
      <c r="C140" s="710"/>
      <c r="D140" s="710"/>
      <c r="E140" s="710"/>
      <c r="F140" s="710"/>
      <c r="G140" s="710"/>
      <c r="H140" s="694">
        <v>18</v>
      </c>
      <c r="I140" s="244" t="s">
        <v>1</v>
      </c>
      <c r="J140" s="695">
        <v>0.88</v>
      </c>
      <c r="K140" s="244" t="s">
        <v>1</v>
      </c>
      <c r="L140" s="695">
        <v>2.0299999999999998</v>
      </c>
      <c r="M140" s="696" t="s">
        <v>0</v>
      </c>
      <c r="N140" s="697">
        <f>L140*J140*H140</f>
        <v>32.155199999999994</v>
      </c>
      <c r="O140" s="715" t="s">
        <v>420</v>
      </c>
      <c r="P140" s="200"/>
      <c r="Q140" s="200"/>
      <c r="R140" s="715"/>
    </row>
    <row r="141" spans="1:24" s="157" customFormat="1" ht="17.25">
      <c r="A141" s="693"/>
      <c r="B141" s="818" t="s">
        <v>612</v>
      </c>
      <c r="C141" s="710"/>
      <c r="D141" s="710"/>
      <c r="E141" s="710"/>
      <c r="F141" s="710"/>
      <c r="G141" s="710"/>
      <c r="H141" s="694">
        <v>20</v>
      </c>
      <c r="I141" s="244" t="s">
        <v>1</v>
      </c>
      <c r="J141" s="695">
        <v>0.88</v>
      </c>
      <c r="K141" s="825" t="s">
        <v>1</v>
      </c>
      <c r="L141" s="695">
        <v>2.0299999999999998</v>
      </c>
      <c r="M141" s="696" t="s">
        <v>0</v>
      </c>
      <c r="N141" s="697">
        <f>L141*J141*H141</f>
        <v>35.727999999999994</v>
      </c>
      <c r="O141" s="715" t="s">
        <v>420</v>
      </c>
      <c r="P141" s="200"/>
      <c r="Q141" s="200"/>
      <c r="R141" s="715"/>
    </row>
    <row r="142" spans="1:24" s="157" customFormat="1" ht="17.25">
      <c r="A142" s="693"/>
      <c r="B142" s="818" t="s">
        <v>613</v>
      </c>
      <c r="C142" s="710"/>
      <c r="D142" s="710"/>
      <c r="E142" s="710"/>
      <c r="F142" s="710"/>
      <c r="G142" s="710"/>
      <c r="H142" s="694">
        <v>20</v>
      </c>
      <c r="I142" s="244" t="s">
        <v>1</v>
      </c>
      <c r="J142" s="695">
        <v>0.88</v>
      </c>
      <c r="K142" s="825" t="s">
        <v>1</v>
      </c>
      <c r="L142" s="864">
        <v>2.0299999999999998</v>
      </c>
      <c r="M142" s="812" t="s">
        <v>0</v>
      </c>
      <c r="N142" s="813">
        <f>L142*J142*H142</f>
        <v>35.727999999999994</v>
      </c>
      <c r="O142" s="863" t="s">
        <v>420</v>
      </c>
      <c r="P142" s="200"/>
      <c r="Q142" s="200"/>
      <c r="R142" s="715"/>
    </row>
    <row r="143" spans="1:24" s="157" customFormat="1" ht="15" customHeight="1">
      <c r="A143" s="493"/>
      <c r="B143" s="777"/>
      <c r="C143" s="777"/>
      <c r="D143" s="777"/>
      <c r="E143" s="777"/>
      <c r="F143" s="777"/>
      <c r="G143" s="777"/>
      <c r="H143" s="777"/>
      <c r="I143" s="701"/>
      <c r="J143" s="236"/>
      <c r="K143" s="716"/>
      <c r="L143" s="233" t="s">
        <v>8</v>
      </c>
      <c r="M143" s="776" t="s">
        <v>0</v>
      </c>
      <c r="N143" s="702">
        <f>SUM(N140:N142)</f>
        <v>103.61119999999998</v>
      </c>
      <c r="O143" s="715" t="s">
        <v>420</v>
      </c>
      <c r="P143" s="200"/>
      <c r="Q143" s="185"/>
      <c r="R143" s="244"/>
    </row>
    <row r="144" spans="1:24" s="43" customFormat="1" ht="17.25">
      <c r="A144" s="493"/>
      <c r="B144" s="711"/>
      <c r="C144" s="711"/>
      <c r="D144" s="711"/>
      <c r="E144" s="711"/>
      <c r="F144" s="716"/>
      <c r="G144" s="716"/>
      <c r="H144" s="233"/>
      <c r="I144" s="716"/>
      <c r="J144" s="780" t="s">
        <v>350</v>
      </c>
      <c r="K144" s="781" t="s">
        <v>11</v>
      </c>
      <c r="L144" s="1047">
        <v>6717</v>
      </c>
      <c r="M144" s="1047"/>
      <c r="N144" s="687" t="s">
        <v>663</v>
      </c>
      <c r="O144" s="715"/>
      <c r="P144" s="701" t="s">
        <v>0</v>
      </c>
      <c r="Q144" s="793" t="s">
        <v>11</v>
      </c>
      <c r="R144" s="794">
        <f>ROUND(N143*L144,0)</f>
        <v>695956</v>
      </c>
    </row>
    <row r="145" spans="1:18" s="157" customFormat="1">
      <c r="A145" s="493"/>
      <c r="B145" s="185"/>
      <c r="C145" s="185"/>
      <c r="D145" s="185"/>
      <c r="E145" s="185"/>
      <c r="F145" s="185"/>
      <c r="G145" s="185"/>
      <c r="H145" s="185"/>
      <c r="I145" s="185"/>
      <c r="J145" s="780"/>
      <c r="K145" s="781"/>
      <c r="L145" s="781"/>
      <c r="M145" s="781"/>
      <c r="N145" s="824"/>
      <c r="O145" s="715"/>
      <c r="P145" s="701"/>
      <c r="Q145" s="793"/>
      <c r="R145" s="794"/>
    </row>
    <row r="146" spans="1:18" s="157" customFormat="1" ht="48" customHeight="1">
      <c r="A146" s="693" t="s">
        <v>628</v>
      </c>
      <c r="B146" s="1051" t="s">
        <v>665</v>
      </c>
      <c r="C146" s="1051"/>
      <c r="D146" s="1051"/>
      <c r="E146" s="1051"/>
      <c r="F146" s="1051"/>
      <c r="G146" s="1051"/>
      <c r="H146" s="1051"/>
      <c r="I146" s="1051"/>
      <c r="J146" s="1051"/>
      <c r="K146" s="1051"/>
      <c r="L146" s="1051"/>
      <c r="M146" s="1051"/>
      <c r="N146" s="1051"/>
      <c r="O146" s="1051"/>
      <c r="P146" s="701"/>
      <c r="Q146" s="793"/>
      <c r="R146" s="794"/>
    </row>
    <row r="147" spans="1:18" s="43" customFormat="1" ht="15.75">
      <c r="A147" s="693"/>
      <c r="B147" s="998" t="s">
        <v>651</v>
      </c>
      <c r="C147" s="998"/>
      <c r="D147" s="998"/>
      <c r="E147" s="998"/>
      <c r="F147" s="998"/>
      <c r="G147" s="998"/>
      <c r="H147" s="998"/>
      <c r="I147" s="998"/>
      <c r="J147" s="998"/>
      <c r="K147" s="710"/>
      <c r="L147" s="710"/>
      <c r="M147" s="710"/>
      <c r="N147" s="710"/>
      <c r="O147" s="710"/>
      <c r="P147" s="701"/>
      <c r="Q147" s="793"/>
      <c r="R147" s="794"/>
    </row>
    <row r="148" spans="1:18" s="752" customFormat="1">
      <c r="A148" s="799"/>
      <c r="B148" s="1039" t="s">
        <v>623</v>
      </c>
      <c r="C148" s="1039"/>
      <c r="D148" s="1039"/>
      <c r="E148" s="1039"/>
      <c r="F148" s="1039"/>
      <c r="G148" s="1039"/>
      <c r="H148" s="800"/>
      <c r="I148" s="751"/>
      <c r="J148" s="801"/>
      <c r="K148" s="751"/>
      <c r="L148" s="801"/>
      <c r="M148" s="802"/>
      <c r="N148" s="803"/>
      <c r="O148" s="762"/>
      <c r="P148" s="764"/>
      <c r="Q148" s="774"/>
      <c r="R148" s="768"/>
    </row>
    <row r="149" spans="1:18" s="752" customFormat="1" ht="17.25">
      <c r="A149" s="799"/>
      <c r="B149" s="815" t="s">
        <v>620</v>
      </c>
      <c r="C149" s="816"/>
      <c r="D149" s="816"/>
      <c r="E149" s="816"/>
      <c r="F149" s="816"/>
      <c r="G149" s="816"/>
      <c r="H149" s="800">
        <v>2</v>
      </c>
      <c r="I149" s="751" t="s">
        <v>1</v>
      </c>
      <c r="J149" s="801">
        <v>159</v>
      </c>
      <c r="K149" s="751" t="s">
        <v>1</v>
      </c>
      <c r="L149" s="801">
        <v>3</v>
      </c>
      <c r="M149" s="802" t="s">
        <v>0</v>
      </c>
      <c r="N149" s="803">
        <f>L149*J149*H149</f>
        <v>954</v>
      </c>
      <c r="O149" s="762" t="s">
        <v>655</v>
      </c>
      <c r="P149" s="765"/>
      <c r="Q149" s="765"/>
      <c r="R149" s="762"/>
    </row>
    <row r="150" spans="1:18" s="752" customFormat="1" ht="17.25">
      <c r="A150" s="799"/>
      <c r="B150" s="815" t="s">
        <v>612</v>
      </c>
      <c r="C150" s="816"/>
      <c r="D150" s="816"/>
      <c r="E150" s="816"/>
      <c r="F150" s="816"/>
      <c r="G150" s="816"/>
      <c r="H150" s="800">
        <v>2</v>
      </c>
      <c r="I150" s="751" t="s">
        <v>1</v>
      </c>
      <c r="J150" s="801">
        <v>159</v>
      </c>
      <c r="K150" s="751" t="s">
        <v>1</v>
      </c>
      <c r="L150" s="801">
        <v>3</v>
      </c>
      <c r="M150" s="802" t="s">
        <v>0</v>
      </c>
      <c r="N150" s="803">
        <f>L150*J150*H150</f>
        <v>954</v>
      </c>
      <c r="O150" s="762" t="s">
        <v>655</v>
      </c>
      <c r="P150" s="765"/>
      <c r="Q150" s="765"/>
      <c r="R150" s="762"/>
    </row>
    <row r="151" spans="1:18" s="752" customFormat="1" ht="17.25" customHeight="1">
      <c r="A151" s="799"/>
      <c r="B151" s="815" t="s">
        <v>613</v>
      </c>
      <c r="C151" s="816"/>
      <c r="D151" s="816"/>
      <c r="E151" s="816"/>
      <c r="F151" s="816"/>
      <c r="G151" s="816"/>
      <c r="H151" s="800">
        <v>2</v>
      </c>
      <c r="I151" s="751" t="s">
        <v>1</v>
      </c>
      <c r="J151" s="801">
        <v>159</v>
      </c>
      <c r="K151" s="751" t="s">
        <v>1</v>
      </c>
      <c r="L151" s="801">
        <v>3</v>
      </c>
      <c r="M151" s="802" t="s">
        <v>0</v>
      </c>
      <c r="N151" s="803">
        <f>L151*J151*H151</f>
        <v>954</v>
      </c>
      <c r="O151" s="762" t="s">
        <v>655</v>
      </c>
      <c r="P151" s="764"/>
      <c r="Q151" s="774"/>
      <c r="R151" s="768"/>
    </row>
    <row r="152" spans="1:18" s="752" customFormat="1" ht="17.25" customHeight="1">
      <c r="A152" s="799"/>
      <c r="B152" s="817" t="s">
        <v>660</v>
      </c>
      <c r="C152" s="816"/>
      <c r="D152" s="816"/>
      <c r="E152" s="816"/>
      <c r="F152" s="816"/>
      <c r="G152" s="816"/>
      <c r="H152" s="800"/>
      <c r="I152" s="751"/>
      <c r="J152" s="801"/>
      <c r="K152" s="751"/>
      <c r="L152" s="801"/>
      <c r="M152" s="802"/>
      <c r="N152" s="803"/>
      <c r="O152" s="762"/>
      <c r="P152" s="764"/>
      <c r="Q152" s="774"/>
      <c r="R152" s="768"/>
    </row>
    <row r="153" spans="1:18" s="752" customFormat="1" ht="17.25">
      <c r="A153" s="799"/>
      <c r="B153" s="815" t="s">
        <v>621</v>
      </c>
      <c r="C153" s="816"/>
      <c r="D153" s="816"/>
      <c r="E153" s="816"/>
      <c r="F153" s="816"/>
      <c r="G153" s="816"/>
      <c r="H153" s="800">
        <f>20*2*3</f>
        <v>120</v>
      </c>
      <c r="I153" s="751" t="s">
        <v>1</v>
      </c>
      <c r="J153" s="801">
        <v>1.1000000000000001</v>
      </c>
      <c r="K153" s="751" t="s">
        <v>1</v>
      </c>
      <c r="L153" s="801">
        <v>1.2</v>
      </c>
      <c r="M153" s="802" t="s">
        <v>0</v>
      </c>
      <c r="N153" s="803">
        <f>-L153*J153*H153</f>
        <v>-158.4</v>
      </c>
      <c r="O153" s="762" t="s">
        <v>655</v>
      </c>
      <c r="P153" s="765"/>
      <c r="Q153" s="765"/>
      <c r="R153" s="762"/>
    </row>
    <row r="154" spans="1:18" s="752" customFormat="1" ht="17.25">
      <c r="A154" s="799"/>
      <c r="B154" s="815" t="s">
        <v>661</v>
      </c>
      <c r="C154" s="816"/>
      <c r="D154" s="816"/>
      <c r="E154" s="816"/>
      <c r="F154" s="816"/>
      <c r="G154" s="816"/>
      <c r="H154" s="800">
        <f>12*2*3</f>
        <v>72</v>
      </c>
      <c r="I154" s="751" t="s">
        <v>1</v>
      </c>
      <c r="J154" s="801">
        <v>1</v>
      </c>
      <c r="K154" s="751" t="s">
        <v>1</v>
      </c>
      <c r="L154" s="801">
        <v>1.2</v>
      </c>
      <c r="M154" s="802" t="s">
        <v>0</v>
      </c>
      <c r="N154" s="803">
        <f>-L154*J154*H154</f>
        <v>-86.399999999999991</v>
      </c>
      <c r="O154" s="762" t="s">
        <v>655</v>
      </c>
      <c r="P154" s="765"/>
      <c r="Q154" s="765"/>
      <c r="R154" s="762"/>
    </row>
    <row r="155" spans="1:18" s="752" customFormat="1" ht="17.25">
      <c r="A155" s="799"/>
      <c r="B155" s="815" t="s">
        <v>662</v>
      </c>
      <c r="C155" s="816"/>
      <c r="D155" s="816"/>
      <c r="E155" s="816"/>
      <c r="F155" s="816"/>
      <c r="G155" s="816"/>
      <c r="H155" s="800">
        <f>8*2*3</f>
        <v>48</v>
      </c>
      <c r="I155" s="751" t="s">
        <v>1</v>
      </c>
      <c r="J155" s="801">
        <v>0.6</v>
      </c>
      <c r="K155" s="751" t="s">
        <v>1</v>
      </c>
      <c r="L155" s="801">
        <v>0.3</v>
      </c>
      <c r="M155" s="802" t="s">
        <v>0</v>
      </c>
      <c r="N155" s="803">
        <f>-L155*J155*H155</f>
        <v>-8.64</v>
      </c>
      <c r="O155" s="762" t="s">
        <v>655</v>
      </c>
      <c r="P155" s="765"/>
      <c r="Q155" s="765"/>
      <c r="R155" s="762"/>
    </row>
    <row r="156" spans="1:18" s="157" customFormat="1" ht="17.25" customHeight="1">
      <c r="A156" s="693"/>
      <c r="B156" s="1036" t="s">
        <v>646</v>
      </c>
      <c r="C156" s="1036"/>
      <c r="D156" s="1036"/>
      <c r="E156" s="1036"/>
      <c r="F156" s="1036"/>
      <c r="G156" s="1036"/>
      <c r="H156" s="1036"/>
      <c r="I156" s="244"/>
      <c r="J156" s="695"/>
      <c r="K156" s="244"/>
      <c r="L156" s="695"/>
      <c r="M156" s="696"/>
      <c r="N156" s="697"/>
      <c r="O156" s="715"/>
      <c r="P156" s="698"/>
      <c r="Q156" s="699"/>
      <c r="R156" s="700"/>
    </row>
    <row r="157" spans="1:18" s="157" customFormat="1" ht="17.25" customHeight="1">
      <c r="A157" s="693"/>
      <c r="B157" s="1035" t="s">
        <v>599</v>
      </c>
      <c r="C157" s="1035"/>
      <c r="D157" s="1035"/>
      <c r="E157" s="1035"/>
      <c r="F157" s="694">
        <v>2</v>
      </c>
      <c r="G157" s="244" t="s">
        <v>1</v>
      </c>
      <c r="H157" s="694">
        <v>2</v>
      </c>
      <c r="I157" s="244" t="s">
        <v>1</v>
      </c>
      <c r="J157" s="695">
        <v>11.7</v>
      </c>
      <c r="K157" s="244" t="s">
        <v>1</v>
      </c>
      <c r="L157" s="695">
        <v>7.1</v>
      </c>
      <c r="M157" s="696" t="s">
        <v>0</v>
      </c>
      <c r="N157" s="697">
        <f>F157*L157*J157*H157</f>
        <v>332.28</v>
      </c>
      <c r="O157" s="715" t="s">
        <v>420</v>
      </c>
      <c r="P157" s="698"/>
      <c r="Q157" s="699"/>
      <c r="R157" s="700"/>
    </row>
    <row r="158" spans="1:18" s="157" customFormat="1" ht="17.25" customHeight="1">
      <c r="A158" s="693"/>
      <c r="B158" s="855"/>
      <c r="C158" s="855"/>
      <c r="D158" s="855"/>
      <c r="E158" s="855"/>
      <c r="F158" s="694"/>
      <c r="G158" s="856"/>
      <c r="H158" s="694"/>
      <c r="I158" s="856"/>
      <c r="J158" s="695"/>
      <c r="K158" s="856"/>
      <c r="L158" s="695"/>
      <c r="M158" s="696"/>
      <c r="N158" s="697"/>
      <c r="O158" s="715"/>
      <c r="P158" s="698"/>
      <c r="Q158" s="699"/>
      <c r="R158" s="700"/>
    </row>
    <row r="159" spans="1:18" s="157" customFormat="1">
      <c r="A159" s="860"/>
      <c r="B159" s="185"/>
      <c r="C159" s="185"/>
      <c r="D159" s="185"/>
      <c r="E159" s="185"/>
      <c r="F159" s="185"/>
      <c r="G159" s="185"/>
      <c r="H159" s="185"/>
      <c r="I159" s="185"/>
      <c r="J159" s="780"/>
      <c r="K159" s="858"/>
      <c r="L159" s="833"/>
      <c r="M159" s="833"/>
      <c r="N159" s="857"/>
      <c r="O159" s="827" t="s">
        <v>24</v>
      </c>
      <c r="P159" s="828" t="s">
        <v>0</v>
      </c>
      <c r="Q159" s="829" t="s">
        <v>11</v>
      </c>
      <c r="R159" s="830">
        <f>SUM(R124:R158)</f>
        <v>5037622.9399999995</v>
      </c>
    </row>
    <row r="160" spans="1:18" s="157" customFormat="1">
      <c r="A160" s="860"/>
      <c r="B160" s="185"/>
      <c r="C160" s="185"/>
      <c r="D160" s="185"/>
      <c r="E160" s="185"/>
      <c r="F160" s="185"/>
      <c r="G160" s="185"/>
      <c r="H160" s="185"/>
      <c r="I160" s="185"/>
      <c r="J160" s="780"/>
      <c r="K160" s="858"/>
      <c r="L160" s="833"/>
      <c r="M160" s="833"/>
      <c r="N160" s="857"/>
      <c r="O160" s="786" t="s">
        <v>25</v>
      </c>
      <c r="P160" s="828" t="s">
        <v>0</v>
      </c>
      <c r="Q160" s="829" t="s">
        <v>11</v>
      </c>
      <c r="R160" s="830">
        <f>R159</f>
        <v>5037622.9399999995</v>
      </c>
    </row>
    <row r="161" spans="1:30" s="157" customFormat="1" ht="17.25" customHeight="1">
      <c r="A161" s="693"/>
      <c r="B161" s="1035" t="s">
        <v>600</v>
      </c>
      <c r="C161" s="1035"/>
      <c r="D161" s="1035"/>
      <c r="E161" s="1035"/>
      <c r="F161" s="694">
        <v>2</v>
      </c>
      <c r="G161" s="244" t="s">
        <v>1</v>
      </c>
      <c r="H161" s="694">
        <v>1</v>
      </c>
      <c r="I161" s="244" t="s">
        <v>1</v>
      </c>
      <c r="J161" s="695">
        <v>2.7</v>
      </c>
      <c r="K161" s="244" t="s">
        <v>1</v>
      </c>
      <c r="L161" s="695">
        <v>4.7</v>
      </c>
      <c r="M161" s="696" t="s">
        <v>0</v>
      </c>
      <c r="N161" s="697">
        <f>F161*L161*J161*H161</f>
        <v>25.380000000000003</v>
      </c>
      <c r="O161" s="715" t="s">
        <v>420</v>
      </c>
      <c r="P161" s="698"/>
      <c r="Q161" s="699"/>
      <c r="R161" s="700"/>
    </row>
    <row r="162" spans="1:30" s="157" customFormat="1" ht="17.25" customHeight="1">
      <c r="A162" s="693"/>
      <c r="B162" s="777" t="s">
        <v>597</v>
      </c>
      <c r="C162" s="777"/>
      <c r="D162" s="777"/>
      <c r="E162" s="777"/>
      <c r="F162" s="694">
        <v>2</v>
      </c>
      <c r="G162" s="244" t="s">
        <v>1</v>
      </c>
      <c r="H162" s="694">
        <v>1</v>
      </c>
      <c r="I162" s="244" t="s">
        <v>1</v>
      </c>
      <c r="J162" s="695">
        <v>7.2</v>
      </c>
      <c r="K162" s="244" t="s">
        <v>1</v>
      </c>
      <c r="L162" s="695">
        <v>1.2</v>
      </c>
      <c r="M162" s="696" t="s">
        <v>0</v>
      </c>
      <c r="N162" s="697">
        <f>F162*L162*J162*H162</f>
        <v>17.28</v>
      </c>
      <c r="O162" s="715" t="s">
        <v>420</v>
      </c>
      <c r="P162" s="698"/>
      <c r="Q162" s="699"/>
      <c r="R162" s="700"/>
    </row>
    <row r="163" spans="1:30" s="157" customFormat="1">
      <c r="A163" s="693"/>
      <c r="B163" s="1036" t="s">
        <v>602</v>
      </c>
      <c r="C163" s="1036"/>
      <c r="D163" s="1036"/>
      <c r="E163" s="1036"/>
      <c r="F163" s="1036"/>
      <c r="G163" s="1036"/>
      <c r="H163" s="694"/>
      <c r="I163" s="244"/>
      <c r="J163" s="695"/>
      <c r="K163" s="244"/>
      <c r="L163" s="695"/>
      <c r="M163" s="696"/>
      <c r="N163" s="697"/>
      <c r="O163" s="715"/>
      <c r="P163" s="698"/>
      <c r="Q163" s="699"/>
      <c r="R163" s="700"/>
    </row>
    <row r="164" spans="1:30" s="157" customFormat="1" ht="17.25" customHeight="1">
      <c r="A164" s="693"/>
      <c r="B164" s="1037" t="s">
        <v>600</v>
      </c>
      <c r="C164" s="1037"/>
      <c r="D164" s="1037"/>
      <c r="E164" s="1037"/>
      <c r="F164" s="694">
        <v>2</v>
      </c>
      <c r="G164" s="244" t="s">
        <v>1</v>
      </c>
      <c r="H164" s="694">
        <v>1</v>
      </c>
      <c r="I164" s="244" t="s">
        <v>1</v>
      </c>
      <c r="J164" s="695">
        <v>2.7</v>
      </c>
      <c r="K164" s="244" t="s">
        <v>1</v>
      </c>
      <c r="L164" s="695">
        <v>4.7</v>
      </c>
      <c r="M164" s="696" t="s">
        <v>0</v>
      </c>
      <c r="N164" s="697">
        <f>F164*L164*J164*H164</f>
        <v>25.380000000000003</v>
      </c>
      <c r="O164" s="715" t="s">
        <v>420</v>
      </c>
      <c r="P164" s="701"/>
      <c r="Q164" s="793"/>
      <c r="R164" s="700"/>
    </row>
    <row r="165" spans="1:30" s="157" customFormat="1" ht="17.25" customHeight="1">
      <c r="A165" s="693"/>
      <c r="B165" s="1037" t="s">
        <v>604</v>
      </c>
      <c r="C165" s="1037"/>
      <c r="D165" s="1037"/>
      <c r="E165" s="1037"/>
      <c r="F165" s="694">
        <v>2</v>
      </c>
      <c r="G165" s="244" t="s">
        <v>1</v>
      </c>
      <c r="H165" s="694">
        <v>2</v>
      </c>
      <c r="I165" s="244" t="s">
        <v>1</v>
      </c>
      <c r="J165" s="695">
        <v>9.4</v>
      </c>
      <c r="K165" s="244" t="s">
        <v>1</v>
      </c>
      <c r="L165" s="695">
        <v>3.5</v>
      </c>
      <c r="M165" s="696" t="s">
        <v>0</v>
      </c>
      <c r="N165" s="697">
        <f>F165*L165*J165*H165</f>
        <v>131.6</v>
      </c>
      <c r="O165" s="715" t="s">
        <v>420</v>
      </c>
      <c r="P165" s="701"/>
      <c r="Q165" s="793"/>
      <c r="R165" s="700"/>
    </row>
    <row r="166" spans="1:30" s="157" customFormat="1" ht="17.25">
      <c r="A166" s="493"/>
      <c r="B166" s="1037" t="s">
        <v>468</v>
      </c>
      <c r="C166" s="1037"/>
      <c r="D166" s="1037"/>
      <c r="E166" s="1037"/>
      <c r="F166" s="694">
        <v>2</v>
      </c>
      <c r="G166" s="244" t="s">
        <v>1</v>
      </c>
      <c r="H166" s="236">
        <f>3*12</f>
        <v>36</v>
      </c>
      <c r="I166" s="716" t="s">
        <v>1</v>
      </c>
      <c r="J166" s="236">
        <v>1</v>
      </c>
      <c r="K166" s="716" t="s">
        <v>1</v>
      </c>
      <c r="L166" s="233">
        <v>0.6</v>
      </c>
      <c r="M166" s="701" t="s">
        <v>0</v>
      </c>
      <c r="N166" s="697">
        <f>F166*L166*J166*H166</f>
        <v>43.199999999999996</v>
      </c>
      <c r="O166" s="715" t="s">
        <v>420</v>
      </c>
      <c r="P166" s="185"/>
      <c r="Q166" s="185"/>
      <c r="R166" s="715"/>
      <c r="U166" s="168"/>
      <c r="V166" s="168"/>
      <c r="W166" s="168"/>
      <c r="X166" s="173"/>
      <c r="Y166" s="714"/>
      <c r="Z166" s="714"/>
      <c r="AA166" s="714"/>
      <c r="AB166" s="714"/>
      <c r="AC166" s="172"/>
      <c r="AD166" s="714"/>
    </row>
    <row r="167" spans="1:30" s="43" customFormat="1" ht="17.25" customHeight="1">
      <c r="A167" s="707"/>
      <c r="F167" s="716"/>
      <c r="G167" s="716"/>
      <c r="H167" s="236">
        <v>12</v>
      </c>
      <c r="I167" s="716" t="s">
        <v>1</v>
      </c>
      <c r="J167" s="233">
        <v>7.2</v>
      </c>
      <c r="K167" s="716" t="s">
        <v>1</v>
      </c>
      <c r="L167" s="233">
        <v>0.7</v>
      </c>
      <c r="M167" s="701" t="s">
        <v>0</v>
      </c>
      <c r="N167" s="702">
        <f t="shared" ref="N167" si="12">ROUND(H167*J167*L167,2)</f>
        <v>60.48</v>
      </c>
      <c r="O167" s="200" t="s">
        <v>420</v>
      </c>
      <c r="P167" s="157"/>
      <c r="Q167" s="157"/>
      <c r="R167" s="716"/>
    </row>
    <row r="168" spans="1:30" s="157" customFormat="1" ht="17.25">
      <c r="A168" s="493"/>
      <c r="B168" s="777"/>
      <c r="C168" s="777"/>
      <c r="D168" s="777"/>
      <c r="E168" s="777"/>
      <c r="F168" s="777"/>
      <c r="G168" s="777"/>
      <c r="H168" s="777"/>
      <c r="I168" s="701"/>
      <c r="J168" s="236"/>
      <c r="K168" s="716"/>
      <c r="L168" s="233" t="s">
        <v>8</v>
      </c>
      <c r="M168" s="776" t="s">
        <v>0</v>
      </c>
      <c r="N168" s="702">
        <f>SUM(N149:N167)</f>
        <v>3244.1600000000003</v>
      </c>
      <c r="O168" s="715" t="s">
        <v>420</v>
      </c>
      <c r="P168" s="200"/>
      <c r="Q168" s="185"/>
      <c r="R168" s="244"/>
    </row>
    <row r="169" spans="1:30" s="157" customFormat="1" ht="17.25">
      <c r="A169" s="493"/>
      <c r="B169" s="185"/>
      <c r="C169" s="185"/>
      <c r="D169" s="185"/>
      <c r="E169" s="185"/>
      <c r="F169" s="185"/>
      <c r="G169" s="185"/>
      <c r="H169" s="185"/>
      <c r="I169" s="185"/>
      <c r="J169" s="780" t="s">
        <v>350</v>
      </c>
      <c r="K169" s="781" t="s">
        <v>11</v>
      </c>
      <c r="L169" s="1047">
        <v>252</v>
      </c>
      <c r="M169" s="1047"/>
      <c r="N169" s="687" t="s">
        <v>663</v>
      </c>
      <c r="O169" s="715"/>
      <c r="P169" s="701" t="s">
        <v>0</v>
      </c>
      <c r="Q169" s="793" t="s">
        <v>11</v>
      </c>
      <c r="R169" s="794">
        <f>L169*N168</f>
        <v>817528.32000000007</v>
      </c>
    </row>
    <row r="170" spans="1:30">
      <c r="B170" s="681"/>
      <c r="C170" s="681"/>
      <c r="D170" s="681"/>
      <c r="E170" s="681"/>
      <c r="F170" s="681"/>
      <c r="G170" s="681"/>
      <c r="H170" s="681"/>
      <c r="I170" s="681"/>
      <c r="J170" s="684"/>
      <c r="K170" s="686"/>
      <c r="L170" s="686"/>
      <c r="M170" s="686"/>
      <c r="N170" s="725"/>
      <c r="O170" s="691"/>
      <c r="P170" s="690"/>
      <c r="Q170" s="723"/>
      <c r="R170" s="724"/>
    </row>
    <row r="171" spans="1:30" s="43" customFormat="1" ht="50.25" customHeight="1">
      <c r="A171" s="693" t="s">
        <v>629</v>
      </c>
      <c r="B171" s="1051" t="s">
        <v>630</v>
      </c>
      <c r="C171" s="1051"/>
      <c r="D171" s="1051"/>
      <c r="E171" s="1051"/>
      <c r="F171" s="1051"/>
      <c r="G171" s="1051"/>
      <c r="H171" s="1051"/>
      <c r="I171" s="1051"/>
      <c r="J171" s="1051"/>
      <c r="K171" s="1051"/>
      <c r="L171" s="1051"/>
      <c r="M171" s="1051"/>
      <c r="N171" s="1051"/>
      <c r="O171" s="1051"/>
      <c r="P171" s="200"/>
      <c r="Q171" s="793"/>
      <c r="R171" s="794"/>
    </row>
    <row r="172" spans="1:30" s="157" customFormat="1">
      <c r="A172" s="693"/>
      <c r="B172" s="1038" t="s">
        <v>631</v>
      </c>
      <c r="C172" s="1038"/>
      <c r="D172" s="1038"/>
      <c r="E172" s="1038"/>
      <c r="F172" s="1038"/>
      <c r="G172" s="1038"/>
      <c r="H172" s="1038"/>
      <c r="I172" s="814"/>
      <c r="J172" s="814"/>
      <c r="K172" s="814"/>
      <c r="L172" s="814"/>
      <c r="M172" s="814"/>
      <c r="N172" s="814"/>
      <c r="O172" s="814"/>
      <c r="P172" s="200"/>
      <c r="Q172" s="793"/>
      <c r="R172" s="794"/>
    </row>
    <row r="173" spans="1:30" s="157" customFormat="1">
      <c r="A173" s="693"/>
      <c r="B173" s="818" t="s">
        <v>620</v>
      </c>
      <c r="C173" s="710"/>
      <c r="D173" s="710"/>
      <c r="E173" s="710"/>
      <c r="F173" s="710"/>
      <c r="G173" s="710"/>
      <c r="H173" s="694"/>
      <c r="I173" s="244"/>
      <c r="J173" s="695"/>
      <c r="K173" s="244"/>
      <c r="L173" s="695"/>
      <c r="M173" s="696"/>
      <c r="N173" s="697"/>
      <c r="O173" s="715"/>
      <c r="P173" s="200"/>
      <c r="Q173" s="200"/>
      <c r="R173" s="715"/>
    </row>
    <row r="174" spans="1:30" s="157" customFormat="1" ht="17.25">
      <c r="A174" s="693"/>
      <c r="B174" s="818" t="s">
        <v>661</v>
      </c>
      <c r="C174" s="710"/>
      <c r="D174" s="710"/>
      <c r="E174" s="710"/>
      <c r="F174" s="710"/>
      <c r="G174" s="710"/>
      <c r="H174" s="694">
        <v>10</v>
      </c>
      <c r="I174" s="244" t="s">
        <v>1</v>
      </c>
      <c r="J174" s="695">
        <v>1</v>
      </c>
      <c r="K174" s="244" t="s">
        <v>1</v>
      </c>
      <c r="L174" s="695">
        <v>1.2</v>
      </c>
      <c r="M174" s="696" t="s">
        <v>0</v>
      </c>
      <c r="N174" s="697">
        <f>L174*J174*H174</f>
        <v>12</v>
      </c>
      <c r="O174" s="715" t="s">
        <v>420</v>
      </c>
      <c r="P174" s="200"/>
      <c r="Q174" s="200"/>
      <c r="R174" s="715"/>
    </row>
    <row r="175" spans="1:30" s="157" customFormat="1" ht="17.25">
      <c r="A175" s="693"/>
      <c r="B175" s="818" t="s">
        <v>662</v>
      </c>
      <c r="C175" s="710"/>
      <c r="D175" s="710"/>
      <c r="E175" s="710"/>
      <c r="F175" s="710"/>
      <c r="G175" s="710"/>
      <c r="H175" s="694">
        <v>8</v>
      </c>
      <c r="I175" s="244" t="s">
        <v>1</v>
      </c>
      <c r="J175" s="695">
        <v>0.6</v>
      </c>
      <c r="K175" s="244" t="s">
        <v>1</v>
      </c>
      <c r="L175" s="695">
        <v>0.3</v>
      </c>
      <c r="M175" s="696" t="s">
        <v>0</v>
      </c>
      <c r="N175" s="697">
        <f>L175*J175*H175</f>
        <v>1.44</v>
      </c>
      <c r="O175" s="715" t="s">
        <v>420</v>
      </c>
      <c r="P175" s="200"/>
      <c r="Q175" s="200"/>
      <c r="R175" s="715"/>
    </row>
    <row r="176" spans="1:30" s="157" customFormat="1">
      <c r="A176" s="693"/>
      <c r="B176" s="818" t="s">
        <v>612</v>
      </c>
      <c r="C176" s="710"/>
      <c r="D176" s="710"/>
      <c r="E176" s="710"/>
      <c r="F176" s="710"/>
      <c r="G176" s="710"/>
      <c r="H176" s="694"/>
      <c r="I176" s="244"/>
      <c r="J176" s="695"/>
      <c r="K176" s="244"/>
      <c r="L176" s="695"/>
      <c r="M176" s="696"/>
      <c r="N176" s="697"/>
      <c r="O176" s="715"/>
      <c r="P176" s="200"/>
      <c r="Q176" s="200"/>
      <c r="R176" s="715"/>
    </row>
    <row r="177" spans="1:23" s="157" customFormat="1" ht="17.25">
      <c r="A177" s="693"/>
      <c r="B177" s="818" t="s">
        <v>661</v>
      </c>
      <c r="C177" s="710"/>
      <c r="D177" s="710"/>
      <c r="E177" s="710"/>
      <c r="F177" s="710"/>
      <c r="G177" s="710"/>
      <c r="H177" s="694">
        <v>12</v>
      </c>
      <c r="I177" s="244" t="s">
        <v>1</v>
      </c>
      <c r="J177" s="695">
        <v>1</v>
      </c>
      <c r="K177" s="244" t="s">
        <v>1</v>
      </c>
      <c r="L177" s="695">
        <v>1.2</v>
      </c>
      <c r="M177" s="696" t="s">
        <v>0</v>
      </c>
      <c r="N177" s="697">
        <f>L177*J177*H177</f>
        <v>14.399999999999999</v>
      </c>
      <c r="O177" s="715" t="s">
        <v>420</v>
      </c>
      <c r="P177" s="200"/>
      <c r="Q177" s="200"/>
      <c r="R177" s="715"/>
    </row>
    <row r="178" spans="1:23" s="157" customFormat="1" ht="17.25">
      <c r="A178" s="693"/>
      <c r="B178" s="818" t="s">
        <v>662</v>
      </c>
      <c r="C178" s="710"/>
      <c r="D178" s="710"/>
      <c r="E178" s="710"/>
      <c r="F178" s="710"/>
      <c r="G178" s="710"/>
      <c r="H178" s="694">
        <v>8</v>
      </c>
      <c r="I178" s="244" t="s">
        <v>1</v>
      </c>
      <c r="J178" s="695">
        <v>0.6</v>
      </c>
      <c r="K178" s="244" t="s">
        <v>1</v>
      </c>
      <c r="L178" s="695">
        <v>0.3</v>
      </c>
      <c r="M178" s="696" t="s">
        <v>0</v>
      </c>
      <c r="N178" s="697">
        <f>L178*J178*H178</f>
        <v>1.44</v>
      </c>
      <c r="O178" s="715" t="s">
        <v>420</v>
      </c>
      <c r="P178" s="200"/>
      <c r="Q178" s="200"/>
      <c r="R178" s="715"/>
    </row>
    <row r="179" spans="1:23" s="157" customFormat="1" ht="17.25" customHeight="1">
      <c r="A179" s="693"/>
      <c r="B179" s="818" t="s">
        <v>613</v>
      </c>
      <c r="C179" s="710"/>
      <c r="D179" s="710"/>
      <c r="E179" s="710"/>
      <c r="F179" s="710"/>
      <c r="G179" s="710"/>
      <c r="H179" s="694"/>
      <c r="I179" s="244"/>
      <c r="J179" s="695"/>
      <c r="K179" s="244"/>
      <c r="L179" s="695"/>
      <c r="M179" s="696"/>
      <c r="N179" s="697"/>
      <c r="O179" s="715"/>
      <c r="P179" s="698"/>
      <c r="Q179" s="699"/>
      <c r="R179" s="700"/>
    </row>
    <row r="180" spans="1:23" s="157" customFormat="1" ht="17.25">
      <c r="A180" s="693"/>
      <c r="B180" s="818" t="s">
        <v>661</v>
      </c>
      <c r="C180" s="710"/>
      <c r="D180" s="710"/>
      <c r="E180" s="710"/>
      <c r="F180" s="710"/>
      <c r="G180" s="710"/>
      <c r="H180" s="694">
        <v>12</v>
      </c>
      <c r="I180" s="244" t="s">
        <v>1</v>
      </c>
      <c r="J180" s="695">
        <v>1</v>
      </c>
      <c r="K180" s="244" t="s">
        <v>1</v>
      </c>
      <c r="L180" s="695">
        <v>1.2</v>
      </c>
      <c r="M180" s="696" t="s">
        <v>0</v>
      </c>
      <c r="N180" s="697">
        <f>L180*J180*H180</f>
        <v>14.399999999999999</v>
      </c>
      <c r="O180" s="715" t="s">
        <v>420</v>
      </c>
      <c r="P180" s="200"/>
      <c r="Q180" s="200"/>
      <c r="R180" s="715"/>
    </row>
    <row r="181" spans="1:23" s="157" customFormat="1" ht="17.25">
      <c r="A181" s="693"/>
      <c r="B181" s="818" t="s">
        <v>662</v>
      </c>
      <c r="C181" s="710"/>
      <c r="D181" s="710"/>
      <c r="E181" s="710"/>
      <c r="F181" s="710"/>
      <c r="G181" s="710"/>
      <c r="H181" s="694">
        <v>8</v>
      </c>
      <c r="I181" s="244" t="s">
        <v>1</v>
      </c>
      <c r="J181" s="695">
        <v>0.6</v>
      </c>
      <c r="K181" s="244" t="s">
        <v>1</v>
      </c>
      <c r="L181" s="695">
        <v>0.3</v>
      </c>
      <c r="M181" s="696" t="s">
        <v>0</v>
      </c>
      <c r="N181" s="697">
        <f>L181*J181*H181</f>
        <v>1.44</v>
      </c>
      <c r="O181" s="715" t="s">
        <v>420</v>
      </c>
      <c r="P181" s="200"/>
      <c r="Q181" s="200"/>
      <c r="R181" s="715"/>
    </row>
    <row r="182" spans="1:23" s="157" customFormat="1" ht="17.25">
      <c r="A182" s="493"/>
      <c r="B182" s="777"/>
      <c r="C182" s="777"/>
      <c r="D182" s="777"/>
      <c r="E182" s="777"/>
      <c r="F182" s="777"/>
      <c r="G182" s="777"/>
      <c r="H182" s="777"/>
      <c r="I182" s="701"/>
      <c r="J182" s="236"/>
      <c r="K182" s="716"/>
      <c r="L182" s="233" t="s">
        <v>8</v>
      </c>
      <c r="M182" s="776" t="s">
        <v>0</v>
      </c>
      <c r="N182" s="702">
        <f>SUM(N174:N181)</f>
        <v>45.11999999999999</v>
      </c>
      <c r="O182" s="715" t="s">
        <v>420</v>
      </c>
      <c r="P182" s="200"/>
      <c r="Q182" s="185"/>
      <c r="R182" s="244"/>
    </row>
    <row r="183" spans="1:23" s="157" customFormat="1" ht="17.25">
      <c r="A183" s="493"/>
      <c r="B183" s="185"/>
      <c r="C183" s="185"/>
      <c r="D183" s="185"/>
      <c r="E183" s="185"/>
      <c r="F183" s="185"/>
      <c r="G183" s="185"/>
      <c r="H183" s="185"/>
      <c r="I183" s="185"/>
      <c r="J183" s="780" t="s">
        <v>350</v>
      </c>
      <c r="K183" s="781" t="s">
        <v>11</v>
      </c>
      <c r="L183" s="1047">
        <v>1371</v>
      </c>
      <c r="M183" s="1047"/>
      <c r="N183" s="687" t="s">
        <v>663</v>
      </c>
      <c r="O183" s="715"/>
      <c r="P183" s="701" t="s">
        <v>0</v>
      </c>
      <c r="Q183" s="793" t="s">
        <v>11</v>
      </c>
      <c r="R183" s="794">
        <f>L183*N182</f>
        <v>61859.51999999999</v>
      </c>
    </row>
    <row r="184" spans="1:23">
      <c r="B184" s="681"/>
      <c r="C184" s="681"/>
      <c r="D184" s="681"/>
      <c r="E184" s="681"/>
      <c r="F184" s="681"/>
      <c r="G184" s="681"/>
      <c r="H184" s="681"/>
      <c r="I184" s="681"/>
      <c r="J184" s="684"/>
      <c r="K184" s="686"/>
      <c r="L184" s="686"/>
      <c r="M184" s="686"/>
      <c r="N184" s="725"/>
      <c r="O184" s="691"/>
      <c r="P184" s="690"/>
      <c r="Q184" s="723"/>
      <c r="R184" s="724"/>
    </row>
    <row r="185" spans="1:23" s="157" customFormat="1" ht="81" customHeight="1">
      <c r="A185" s="693" t="s">
        <v>632</v>
      </c>
      <c r="B185" s="1051" t="s">
        <v>586</v>
      </c>
      <c r="C185" s="1051"/>
      <c r="D185" s="1051"/>
      <c r="E185" s="1051"/>
      <c r="F185" s="1051"/>
      <c r="G185" s="1051"/>
      <c r="H185" s="1051"/>
      <c r="I185" s="1051"/>
      <c r="J185" s="1051"/>
      <c r="K185" s="1051"/>
      <c r="L185" s="1051"/>
      <c r="M185" s="1051"/>
      <c r="N185" s="1051"/>
      <c r="O185" s="1051"/>
      <c r="P185" s="200"/>
      <c r="Q185" s="793"/>
      <c r="R185" s="794"/>
    </row>
    <row r="186" spans="1:23" s="752" customFormat="1" ht="16.5" customHeight="1">
      <c r="A186" s="799"/>
      <c r="B186" s="1040" t="s">
        <v>587</v>
      </c>
      <c r="C186" s="1040"/>
      <c r="D186" s="1040"/>
      <c r="E186" s="1040"/>
      <c r="F186" s="1040"/>
      <c r="G186" s="1040"/>
      <c r="H186" s="1040"/>
      <c r="I186" s="1040"/>
      <c r="J186" s="1040"/>
      <c r="K186" s="1040"/>
      <c r="L186" s="1040"/>
      <c r="M186" s="1040"/>
      <c r="N186" s="1040"/>
      <c r="O186" s="805"/>
      <c r="P186" s="765"/>
      <c r="Q186" s="770"/>
      <c r="R186" s="771"/>
    </row>
    <row r="187" spans="1:23" s="750" customFormat="1" ht="16.5" customHeight="1">
      <c r="A187" s="875"/>
      <c r="B187" s="1043" t="s">
        <v>520</v>
      </c>
      <c r="C187" s="1043"/>
      <c r="D187" s="1043"/>
      <c r="E187" s="1043"/>
      <c r="J187" s="766"/>
      <c r="K187" s="862"/>
      <c r="L187" s="862"/>
      <c r="M187" s="862"/>
      <c r="N187" s="773"/>
      <c r="O187" s="765"/>
      <c r="P187" s="870"/>
      <c r="Q187" s="760"/>
      <c r="R187" s="770"/>
      <c r="S187" s="876"/>
      <c r="V187" s="875"/>
      <c r="W187" s="875"/>
    </row>
    <row r="188" spans="1:23" s="750" customFormat="1" ht="15.75">
      <c r="A188" s="875"/>
      <c r="B188" s="763"/>
      <c r="H188" s="757">
        <v>4</v>
      </c>
      <c r="I188" s="859" t="s">
        <v>1</v>
      </c>
      <c r="J188" s="759">
        <v>7.4</v>
      </c>
      <c r="K188" s="859" t="s">
        <v>1</v>
      </c>
      <c r="L188" s="759">
        <v>11.88</v>
      </c>
      <c r="M188" s="760" t="s">
        <v>0</v>
      </c>
      <c r="N188" s="761">
        <f>L188*J188*H188/100</f>
        <v>3.5164800000000001</v>
      </c>
      <c r="O188" s="765" t="s">
        <v>368</v>
      </c>
      <c r="P188" s="870"/>
      <c r="V188" s="875"/>
      <c r="W188" s="875"/>
    </row>
    <row r="189" spans="1:23" s="750" customFormat="1" ht="15.75">
      <c r="A189" s="875"/>
      <c r="B189" s="763"/>
      <c r="H189" s="757">
        <v>4</v>
      </c>
      <c r="I189" s="859" t="s">
        <v>1</v>
      </c>
      <c r="J189" s="759">
        <v>7.8</v>
      </c>
      <c r="K189" s="859" t="s">
        <v>1</v>
      </c>
      <c r="L189" s="759">
        <v>6.71</v>
      </c>
      <c r="M189" s="760" t="s">
        <v>0</v>
      </c>
      <c r="N189" s="761">
        <f>L189*J189*H189/100</f>
        <v>2.0935199999999998</v>
      </c>
      <c r="O189" s="765" t="s">
        <v>368</v>
      </c>
      <c r="P189" s="870"/>
      <c r="V189" s="875"/>
      <c r="W189" s="875"/>
    </row>
    <row r="190" spans="1:23" s="750" customFormat="1" ht="15.75">
      <c r="A190" s="875"/>
      <c r="B190" s="763"/>
      <c r="H190" s="757">
        <v>4</v>
      </c>
      <c r="I190" s="859" t="s">
        <v>1</v>
      </c>
      <c r="J190" s="759">
        <v>25.97</v>
      </c>
      <c r="K190" s="859" t="s">
        <v>1</v>
      </c>
      <c r="L190" s="759">
        <v>4.12</v>
      </c>
      <c r="M190" s="760" t="s">
        <v>0</v>
      </c>
      <c r="N190" s="761">
        <f>L190*J190*H190/100</f>
        <v>4.2798559999999997</v>
      </c>
      <c r="O190" s="765" t="s">
        <v>368</v>
      </c>
      <c r="P190" s="870"/>
      <c r="V190" s="875"/>
      <c r="W190" s="875"/>
    </row>
    <row r="191" spans="1:23" s="750" customFormat="1" ht="15.75">
      <c r="A191" s="875"/>
      <c r="B191" s="763"/>
      <c r="H191" s="757">
        <v>10</v>
      </c>
      <c r="I191" s="859" t="s">
        <v>1</v>
      </c>
      <c r="J191" s="759">
        <v>17.2</v>
      </c>
      <c r="K191" s="859" t="s">
        <v>1</v>
      </c>
      <c r="L191" s="759">
        <v>4.12</v>
      </c>
      <c r="M191" s="866" t="s">
        <v>0</v>
      </c>
      <c r="N191" s="877">
        <f>L191*J191*H191/100</f>
        <v>7.0864000000000011</v>
      </c>
      <c r="O191" s="878" t="s">
        <v>368</v>
      </c>
      <c r="P191" s="870"/>
      <c r="V191" s="875"/>
      <c r="W191" s="875"/>
    </row>
    <row r="192" spans="1:23" s="750" customFormat="1" ht="15.75">
      <c r="A192" s="875"/>
      <c r="K192" s="1041" t="s">
        <v>8</v>
      </c>
      <c r="L192" s="1041"/>
      <c r="M192" s="760" t="s">
        <v>0</v>
      </c>
      <c r="N192" s="879">
        <f>SUM(N188:N191)</f>
        <v>16.976255999999999</v>
      </c>
      <c r="O192" s="765" t="s">
        <v>368</v>
      </c>
      <c r="P192" s="870"/>
      <c r="V192" s="875"/>
      <c r="W192" s="875"/>
    </row>
    <row r="193" spans="1:24" s="750" customFormat="1" ht="15.75">
      <c r="A193" s="875"/>
      <c r="H193" s="1042" t="s">
        <v>605</v>
      </c>
      <c r="I193" s="1042"/>
      <c r="J193" s="1042"/>
      <c r="K193" s="760" t="s">
        <v>0</v>
      </c>
      <c r="L193" s="880">
        <v>0.1</v>
      </c>
      <c r="M193" s="760" t="s">
        <v>0</v>
      </c>
      <c r="N193" s="879">
        <f>N192*L193</f>
        <v>1.6976256000000001</v>
      </c>
      <c r="O193" s="765" t="s">
        <v>368</v>
      </c>
      <c r="P193" s="870"/>
      <c r="V193" s="875"/>
      <c r="W193" s="875"/>
    </row>
    <row r="194" spans="1:24" s="750" customFormat="1" ht="15.75">
      <c r="A194" s="875"/>
      <c r="F194" s="1042" t="s">
        <v>606</v>
      </c>
      <c r="G194" s="1042"/>
      <c r="H194" s="1042"/>
      <c r="I194" s="1042"/>
      <c r="J194" s="1042"/>
      <c r="K194" s="760" t="s">
        <v>0</v>
      </c>
      <c r="L194" s="880">
        <v>0.05</v>
      </c>
      <c r="M194" s="866" t="s">
        <v>0</v>
      </c>
      <c r="N194" s="881">
        <f>N192*L194</f>
        <v>0.84881280000000003</v>
      </c>
      <c r="O194" s="878" t="s">
        <v>368</v>
      </c>
      <c r="P194" s="870"/>
      <c r="V194" s="875"/>
      <c r="W194" s="875"/>
    </row>
    <row r="195" spans="1:24" s="752" customFormat="1" ht="21">
      <c r="A195" s="869"/>
      <c r="F195" s="873"/>
      <c r="G195" s="873"/>
      <c r="H195" s="873"/>
      <c r="I195" s="873"/>
      <c r="J195" s="873"/>
      <c r="K195" s="871"/>
      <c r="L195" s="874"/>
      <c r="M195" s="871"/>
      <c r="N195" s="879">
        <f>SUM(N192:N194)</f>
        <v>19.522694399999999</v>
      </c>
      <c r="O195" s="765" t="s">
        <v>368</v>
      </c>
      <c r="P195" s="870"/>
      <c r="V195" s="872"/>
      <c r="W195" s="872"/>
    </row>
    <row r="196" spans="1:24" s="752" customFormat="1" ht="15.75" customHeight="1">
      <c r="A196" s="756"/>
      <c r="B196" s="750"/>
      <c r="C196" s="750"/>
      <c r="D196" s="750"/>
      <c r="E196" s="750"/>
      <c r="F196" s="750"/>
      <c r="G196" s="750"/>
      <c r="H196" s="750"/>
      <c r="I196" s="750"/>
      <c r="J196" s="766"/>
      <c r="K196" s="767"/>
      <c r="L196" s="759" t="s">
        <v>8</v>
      </c>
      <c r="M196" s="760" t="s">
        <v>0</v>
      </c>
      <c r="N196" s="882">
        <f>N195/100</f>
        <v>0.19522694399999999</v>
      </c>
      <c r="O196" s="1064" t="s">
        <v>368</v>
      </c>
      <c r="P196" s="1064"/>
      <c r="Q196" s="770"/>
      <c r="R196" s="771"/>
    </row>
    <row r="197" spans="1:24" s="752" customFormat="1" ht="15" customHeight="1">
      <c r="A197" s="756"/>
      <c r="B197" s="750"/>
      <c r="C197" s="750"/>
      <c r="D197" s="750"/>
      <c r="E197" s="750"/>
      <c r="F197" s="750"/>
      <c r="G197" s="750"/>
      <c r="H197" s="750"/>
      <c r="I197" s="750"/>
      <c r="J197" s="766" t="s">
        <v>350</v>
      </c>
      <c r="K197" s="767" t="s">
        <v>11</v>
      </c>
      <c r="L197" s="1065">
        <v>12569</v>
      </c>
      <c r="M197" s="1065"/>
      <c r="N197" s="773" t="s">
        <v>360</v>
      </c>
      <c r="O197" s="762"/>
      <c r="P197" s="764" t="s">
        <v>0</v>
      </c>
      <c r="Q197" s="774" t="s">
        <v>11</v>
      </c>
      <c r="R197" s="768">
        <f>ROUND(N196*L197,2)</f>
        <v>2453.81</v>
      </c>
    </row>
    <row r="198" spans="1:24" s="752" customFormat="1" ht="15" customHeight="1">
      <c r="A198" s="756"/>
      <c r="B198" s="750"/>
      <c r="C198" s="750"/>
      <c r="D198" s="750"/>
      <c r="E198" s="750"/>
      <c r="F198" s="750"/>
      <c r="G198" s="750"/>
      <c r="H198" s="750"/>
      <c r="I198" s="750"/>
      <c r="J198" s="766"/>
      <c r="K198" s="862"/>
      <c r="L198" s="862"/>
      <c r="M198" s="862"/>
      <c r="N198" s="773"/>
      <c r="O198" s="861"/>
      <c r="P198" s="764"/>
      <c r="Q198" s="774"/>
      <c r="R198" s="768"/>
    </row>
    <row r="199" spans="1:24" s="752" customFormat="1" ht="15" customHeight="1">
      <c r="A199" s="756"/>
      <c r="B199" s="750"/>
      <c r="C199" s="750"/>
      <c r="D199" s="750"/>
      <c r="E199" s="750"/>
      <c r="F199" s="750"/>
      <c r="G199" s="750"/>
      <c r="H199" s="750"/>
      <c r="I199" s="750"/>
      <c r="J199" s="766"/>
      <c r="K199" s="862"/>
      <c r="L199" s="862"/>
      <c r="M199" s="862"/>
      <c r="N199" s="773"/>
      <c r="O199" s="861"/>
      <c r="P199" s="764"/>
      <c r="Q199" s="774"/>
      <c r="R199" s="768"/>
    </row>
    <row r="200" spans="1:24" s="157" customFormat="1">
      <c r="A200" s="854"/>
      <c r="B200" s="182"/>
      <c r="C200" s="182"/>
      <c r="D200" s="182"/>
      <c r="E200" s="182"/>
      <c r="F200" s="182"/>
      <c r="G200" s="182"/>
      <c r="H200" s="182"/>
      <c r="I200" s="182"/>
      <c r="J200" s="193"/>
      <c r="K200" s="851"/>
      <c r="L200" s="852"/>
      <c r="M200" s="852"/>
      <c r="N200" s="853"/>
      <c r="O200" s="703" t="s">
        <v>24</v>
      </c>
      <c r="P200" s="251" t="s">
        <v>0</v>
      </c>
      <c r="Q200" s="252" t="s">
        <v>11</v>
      </c>
      <c r="R200" s="273">
        <f>SUM(R160:R199)</f>
        <v>5919464.5899999989</v>
      </c>
    </row>
    <row r="201" spans="1:24" s="157" customFormat="1">
      <c r="A201" s="854"/>
      <c r="B201" s="182"/>
      <c r="C201" s="182"/>
      <c r="D201" s="182"/>
      <c r="E201" s="182"/>
      <c r="F201" s="182"/>
      <c r="G201" s="182"/>
      <c r="H201" s="182"/>
      <c r="I201" s="182"/>
      <c r="J201" s="193"/>
      <c r="K201" s="851"/>
      <c r="L201" s="852"/>
      <c r="M201" s="852"/>
      <c r="N201" s="853"/>
      <c r="O201" s="281" t="s">
        <v>25</v>
      </c>
      <c r="P201" s="251" t="s">
        <v>0</v>
      </c>
      <c r="Q201" s="252" t="s">
        <v>11</v>
      </c>
      <c r="R201" s="273">
        <f>R200</f>
        <v>5919464.5899999989</v>
      </c>
    </row>
    <row r="202" spans="1:24" s="43" customFormat="1" ht="79.5" customHeight="1">
      <c r="A202" s="693" t="s">
        <v>633</v>
      </c>
      <c r="B202" s="1051" t="s">
        <v>624</v>
      </c>
      <c r="C202" s="1051"/>
      <c r="D202" s="1051"/>
      <c r="E202" s="1051"/>
      <c r="F202" s="1051"/>
      <c r="G202" s="1051"/>
      <c r="H202" s="1051"/>
      <c r="I202" s="1051"/>
      <c r="J202" s="1051"/>
      <c r="K202" s="1051"/>
      <c r="L202" s="1051"/>
      <c r="M202" s="1051"/>
      <c r="N202" s="1051"/>
      <c r="O202" s="1051"/>
      <c r="P202" s="200"/>
      <c r="Q202" s="793"/>
      <c r="R202" s="794"/>
    </row>
    <row r="203" spans="1:24" s="157" customFormat="1">
      <c r="A203" s="693"/>
      <c r="B203" s="1038" t="s">
        <v>607</v>
      </c>
      <c r="C203" s="1038"/>
      <c r="D203" s="1038"/>
      <c r="E203" s="1038"/>
      <c r="F203" s="1038"/>
      <c r="G203" s="1038"/>
      <c r="H203" s="1038"/>
      <c r="I203" s="814"/>
      <c r="J203" s="814"/>
      <c r="K203" s="814"/>
      <c r="L203" s="814"/>
      <c r="M203" s="814"/>
      <c r="N203" s="814"/>
      <c r="O203" s="814"/>
      <c r="P203" s="200"/>
      <c r="Q203" s="793"/>
      <c r="R203" s="794"/>
    </row>
    <row r="204" spans="1:24" s="157" customFormat="1" ht="17.25">
      <c r="A204" s="693"/>
      <c r="B204" s="1038"/>
      <c r="C204" s="1038"/>
      <c r="D204" s="1038"/>
      <c r="E204" s="1038"/>
      <c r="F204" s="1038"/>
      <c r="G204" s="1038"/>
      <c r="H204" s="236">
        <v>1</v>
      </c>
      <c r="I204" s="716" t="s">
        <v>1</v>
      </c>
      <c r="J204" s="233">
        <v>14.8</v>
      </c>
      <c r="K204" s="716" t="s">
        <v>1</v>
      </c>
      <c r="L204" s="797">
        <v>17.2</v>
      </c>
      <c r="M204" s="823" t="s">
        <v>0</v>
      </c>
      <c r="N204" s="705">
        <f t="shared" ref="N204" si="13">H204*J204*L204</f>
        <v>254.56</v>
      </c>
      <c r="O204" s="717" t="s">
        <v>420</v>
      </c>
      <c r="P204" s="698"/>
      <c r="Q204" s="699"/>
      <c r="R204" s="700"/>
      <c r="T204" s="168"/>
      <c r="X204" s="361"/>
    </row>
    <row r="205" spans="1:24" s="157" customFormat="1" ht="17.25">
      <c r="A205" s="493"/>
      <c r="B205" s="777"/>
      <c r="C205" s="777"/>
      <c r="D205" s="777"/>
      <c r="E205" s="777"/>
      <c r="F205" s="777"/>
      <c r="G205" s="777"/>
      <c r="H205" s="777"/>
      <c r="I205" s="701"/>
      <c r="J205" s="236"/>
      <c r="K205" s="716"/>
      <c r="L205" s="233" t="s">
        <v>8</v>
      </c>
      <c r="M205" s="776" t="s">
        <v>0</v>
      </c>
      <c r="N205" s="702">
        <f>N204*1</f>
        <v>254.56</v>
      </c>
      <c r="O205" s="715" t="s">
        <v>420</v>
      </c>
      <c r="P205" s="200"/>
      <c r="Q205" s="185"/>
      <c r="R205" s="244"/>
    </row>
    <row r="206" spans="1:24" s="157" customFormat="1" ht="17.25">
      <c r="A206" s="493"/>
      <c r="B206" s="185"/>
      <c r="C206" s="185"/>
      <c r="D206" s="185"/>
      <c r="E206" s="185"/>
      <c r="F206" s="185"/>
      <c r="G206" s="185"/>
      <c r="H206" s="185"/>
      <c r="I206" s="185"/>
      <c r="J206" s="780" t="s">
        <v>350</v>
      </c>
      <c r="K206" s="781" t="s">
        <v>11</v>
      </c>
      <c r="L206" s="1047">
        <v>1056</v>
      </c>
      <c r="M206" s="1047"/>
      <c r="N206" s="687" t="s">
        <v>663</v>
      </c>
      <c r="O206" s="715"/>
      <c r="P206" s="701" t="s">
        <v>0</v>
      </c>
      <c r="Q206" s="793" t="s">
        <v>11</v>
      </c>
      <c r="R206" s="794">
        <f>L206*N205</f>
        <v>268815.35999999999</v>
      </c>
    </row>
    <row r="207" spans="1:24">
      <c r="B207" s="681"/>
      <c r="C207" s="681"/>
      <c r="D207" s="681"/>
      <c r="E207" s="681"/>
      <c r="F207" s="681"/>
      <c r="G207" s="681"/>
      <c r="H207" s="681"/>
      <c r="I207" s="681"/>
      <c r="J207" s="684"/>
      <c r="K207" s="686"/>
      <c r="L207" s="686"/>
      <c r="M207" s="686"/>
      <c r="N207" s="725"/>
      <c r="O207" s="691"/>
      <c r="P207" s="690"/>
      <c r="Q207" s="723"/>
      <c r="R207" s="724"/>
    </row>
    <row r="208" spans="1:24" s="157" customFormat="1" ht="108.75" customHeight="1">
      <c r="A208" s="693" t="s">
        <v>634</v>
      </c>
      <c r="B208" s="1051" t="s">
        <v>596</v>
      </c>
      <c r="C208" s="1051"/>
      <c r="D208" s="1051"/>
      <c r="E208" s="1051"/>
      <c r="F208" s="1051"/>
      <c r="G208" s="1051"/>
      <c r="H208" s="1051"/>
      <c r="I208" s="1051"/>
      <c r="J208" s="1051"/>
      <c r="K208" s="1051"/>
      <c r="L208" s="1051"/>
      <c r="M208" s="1051"/>
      <c r="N208" s="1051"/>
      <c r="O208" s="1051"/>
      <c r="P208" s="701"/>
      <c r="Q208" s="793"/>
      <c r="R208" s="794"/>
    </row>
    <row r="209" spans="1:30" s="752" customFormat="1">
      <c r="A209" s="799"/>
      <c r="B209" s="1039" t="s">
        <v>623</v>
      </c>
      <c r="C209" s="1039"/>
      <c r="D209" s="1039"/>
      <c r="E209" s="1039"/>
      <c r="F209" s="1039"/>
      <c r="G209" s="1039"/>
      <c r="H209" s="800"/>
      <c r="I209" s="751"/>
      <c r="J209" s="801"/>
      <c r="K209" s="751"/>
      <c r="L209" s="801"/>
      <c r="M209" s="802"/>
      <c r="N209" s="803"/>
      <c r="O209" s="762"/>
      <c r="P209" s="764"/>
      <c r="Q209" s="774"/>
      <c r="R209" s="768"/>
    </row>
    <row r="210" spans="1:30" s="752" customFormat="1" ht="17.25">
      <c r="A210" s="799"/>
      <c r="B210" s="815" t="s">
        <v>620</v>
      </c>
      <c r="C210" s="816"/>
      <c r="D210" s="816"/>
      <c r="E210" s="816"/>
      <c r="F210" s="816"/>
      <c r="G210" s="816"/>
      <c r="H210" s="800">
        <v>2</v>
      </c>
      <c r="I210" s="751" t="s">
        <v>1</v>
      </c>
      <c r="J210" s="801">
        <v>159</v>
      </c>
      <c r="K210" s="751" t="s">
        <v>1</v>
      </c>
      <c r="L210" s="801">
        <v>3</v>
      </c>
      <c r="M210" s="802" t="s">
        <v>0</v>
      </c>
      <c r="N210" s="803">
        <f>L210*J210*H210</f>
        <v>954</v>
      </c>
      <c r="O210" s="762" t="s">
        <v>655</v>
      </c>
      <c r="P210" s="765"/>
      <c r="Q210" s="765"/>
      <c r="R210" s="762"/>
    </row>
    <row r="211" spans="1:30" s="752" customFormat="1" ht="17.25">
      <c r="A211" s="799"/>
      <c r="B211" s="815" t="s">
        <v>612</v>
      </c>
      <c r="C211" s="816"/>
      <c r="D211" s="816"/>
      <c r="E211" s="816"/>
      <c r="F211" s="816"/>
      <c r="G211" s="816"/>
      <c r="H211" s="800">
        <v>2</v>
      </c>
      <c r="I211" s="751" t="s">
        <v>1</v>
      </c>
      <c r="J211" s="801">
        <v>159</v>
      </c>
      <c r="K211" s="751" t="s">
        <v>1</v>
      </c>
      <c r="L211" s="801">
        <v>3</v>
      </c>
      <c r="M211" s="802" t="s">
        <v>0</v>
      </c>
      <c r="N211" s="803">
        <f>L211*J211*H211</f>
        <v>954</v>
      </c>
      <c r="O211" s="762" t="s">
        <v>655</v>
      </c>
      <c r="P211" s="765"/>
      <c r="Q211" s="765"/>
      <c r="R211" s="762"/>
    </row>
    <row r="212" spans="1:30" s="752" customFormat="1" ht="17.25" customHeight="1">
      <c r="A212" s="799"/>
      <c r="B212" s="815" t="s">
        <v>613</v>
      </c>
      <c r="C212" s="816"/>
      <c r="D212" s="816"/>
      <c r="E212" s="816"/>
      <c r="F212" s="816"/>
      <c r="G212" s="816"/>
      <c r="H212" s="800">
        <v>2</v>
      </c>
      <c r="I212" s="751" t="s">
        <v>1</v>
      </c>
      <c r="J212" s="801">
        <v>159</v>
      </c>
      <c r="K212" s="751" t="s">
        <v>1</v>
      </c>
      <c r="L212" s="801">
        <v>3</v>
      </c>
      <c r="M212" s="802" t="s">
        <v>0</v>
      </c>
      <c r="N212" s="803">
        <f>L212*J212*H212</f>
        <v>954</v>
      </c>
      <c r="O212" s="762" t="s">
        <v>655</v>
      </c>
      <c r="P212" s="764"/>
      <c r="Q212" s="774"/>
      <c r="R212" s="768"/>
    </row>
    <row r="213" spans="1:30" s="752" customFormat="1" ht="17.25" customHeight="1">
      <c r="A213" s="799"/>
      <c r="B213" s="817" t="s">
        <v>660</v>
      </c>
      <c r="C213" s="816"/>
      <c r="D213" s="816"/>
      <c r="E213" s="816"/>
      <c r="F213" s="816"/>
      <c r="G213" s="816"/>
      <c r="H213" s="800"/>
      <c r="I213" s="751"/>
      <c r="J213" s="801"/>
      <c r="K213" s="751"/>
      <c r="L213" s="801"/>
      <c r="M213" s="802"/>
      <c r="N213" s="803"/>
      <c r="O213" s="762"/>
      <c r="P213" s="764"/>
      <c r="Q213" s="774"/>
      <c r="R213" s="768"/>
    </row>
    <row r="214" spans="1:30" s="752" customFormat="1" ht="17.25">
      <c r="A214" s="799"/>
      <c r="B214" s="815" t="s">
        <v>621</v>
      </c>
      <c r="C214" s="816"/>
      <c r="D214" s="816"/>
      <c r="E214" s="816"/>
      <c r="F214" s="816"/>
      <c r="G214" s="816"/>
      <c r="H214" s="800">
        <f>20*2*3</f>
        <v>120</v>
      </c>
      <c r="I214" s="751" t="s">
        <v>1</v>
      </c>
      <c r="J214" s="801">
        <v>1.1000000000000001</v>
      </c>
      <c r="K214" s="751" t="s">
        <v>1</v>
      </c>
      <c r="L214" s="801">
        <v>1.2</v>
      </c>
      <c r="M214" s="802" t="s">
        <v>0</v>
      </c>
      <c r="N214" s="803">
        <f>-L214*J214*H214</f>
        <v>-158.4</v>
      </c>
      <c r="O214" s="762" t="s">
        <v>655</v>
      </c>
      <c r="P214" s="765"/>
      <c r="Q214" s="765"/>
      <c r="R214" s="762"/>
    </row>
    <row r="215" spans="1:30" s="752" customFormat="1" ht="17.25">
      <c r="A215" s="799"/>
      <c r="B215" s="815" t="s">
        <v>661</v>
      </c>
      <c r="C215" s="816"/>
      <c r="D215" s="816"/>
      <c r="E215" s="816"/>
      <c r="F215" s="816"/>
      <c r="G215" s="816"/>
      <c r="H215" s="800">
        <f>12*2*3</f>
        <v>72</v>
      </c>
      <c r="I215" s="751" t="s">
        <v>1</v>
      </c>
      <c r="J215" s="801">
        <v>1</v>
      </c>
      <c r="K215" s="751" t="s">
        <v>1</v>
      </c>
      <c r="L215" s="801">
        <v>1.2</v>
      </c>
      <c r="M215" s="802" t="s">
        <v>0</v>
      </c>
      <c r="N215" s="803">
        <f>-L215*J215*H215</f>
        <v>-86.399999999999991</v>
      </c>
      <c r="O215" s="762" t="s">
        <v>655</v>
      </c>
      <c r="P215" s="765"/>
      <c r="Q215" s="765"/>
      <c r="R215" s="762"/>
    </row>
    <row r="216" spans="1:30" s="752" customFormat="1" ht="17.25">
      <c r="A216" s="799"/>
      <c r="B216" s="815" t="s">
        <v>662</v>
      </c>
      <c r="C216" s="816"/>
      <c r="D216" s="816"/>
      <c r="E216" s="816"/>
      <c r="F216" s="816"/>
      <c r="G216" s="816"/>
      <c r="H216" s="800">
        <f>8*2*3</f>
        <v>48</v>
      </c>
      <c r="I216" s="751" t="s">
        <v>1</v>
      </c>
      <c r="J216" s="801">
        <v>0.6</v>
      </c>
      <c r="K216" s="751" t="s">
        <v>1</v>
      </c>
      <c r="L216" s="801">
        <v>0.3</v>
      </c>
      <c r="M216" s="802" t="s">
        <v>0</v>
      </c>
      <c r="N216" s="803">
        <f>-L216*J216*H216</f>
        <v>-8.64</v>
      </c>
      <c r="O216" s="762" t="s">
        <v>655</v>
      </c>
      <c r="P216" s="765"/>
      <c r="Q216" s="765"/>
      <c r="R216" s="762"/>
    </row>
    <row r="217" spans="1:30" s="752" customFormat="1">
      <c r="A217" s="799"/>
      <c r="B217" s="1039" t="s">
        <v>664</v>
      </c>
      <c r="C217" s="1039"/>
      <c r="D217" s="1039"/>
      <c r="E217" s="1039"/>
      <c r="F217" s="1039"/>
      <c r="G217" s="1039"/>
      <c r="H217" s="800"/>
      <c r="I217" s="751"/>
      <c r="J217" s="801"/>
      <c r="K217" s="751"/>
      <c r="L217" s="801"/>
      <c r="M217" s="802"/>
      <c r="N217" s="803"/>
      <c r="O217" s="762"/>
      <c r="P217" s="764"/>
      <c r="Q217" s="774"/>
      <c r="R217" s="768"/>
    </row>
    <row r="218" spans="1:30" s="752" customFormat="1" ht="17.25" customHeight="1">
      <c r="A218" s="799"/>
      <c r="B218" s="1042" t="s">
        <v>599</v>
      </c>
      <c r="C218" s="1042"/>
      <c r="D218" s="1042"/>
      <c r="E218" s="1042"/>
      <c r="F218" s="800"/>
      <c r="G218" s="751"/>
      <c r="H218" s="800">
        <v>2</v>
      </c>
      <c r="I218" s="751" t="s">
        <v>1</v>
      </c>
      <c r="J218" s="801">
        <v>11.7</v>
      </c>
      <c r="K218" s="751" t="s">
        <v>1</v>
      </c>
      <c r="L218" s="801">
        <v>7.1</v>
      </c>
      <c r="M218" s="802" t="s">
        <v>0</v>
      </c>
      <c r="N218" s="803">
        <f>L218*J218*H218</f>
        <v>166.14</v>
      </c>
      <c r="O218" s="762" t="s">
        <v>655</v>
      </c>
      <c r="P218" s="764"/>
      <c r="Q218" s="774"/>
      <c r="R218" s="768"/>
    </row>
    <row r="219" spans="1:30" s="752" customFormat="1" ht="17.25" customHeight="1">
      <c r="A219" s="799"/>
      <c r="B219" s="1042" t="s">
        <v>600</v>
      </c>
      <c r="C219" s="1042"/>
      <c r="D219" s="1042"/>
      <c r="E219" s="1042"/>
      <c r="F219" s="800"/>
      <c r="G219" s="751"/>
      <c r="H219" s="800">
        <v>1</v>
      </c>
      <c r="I219" s="751" t="s">
        <v>1</v>
      </c>
      <c r="J219" s="801">
        <v>2.7</v>
      </c>
      <c r="K219" s="751" t="s">
        <v>1</v>
      </c>
      <c r="L219" s="801">
        <v>4.7</v>
      </c>
      <c r="M219" s="802" t="s">
        <v>0</v>
      </c>
      <c r="N219" s="803">
        <f>L219*J219*H219</f>
        <v>12.690000000000001</v>
      </c>
      <c r="O219" s="762" t="s">
        <v>655</v>
      </c>
      <c r="P219" s="764"/>
      <c r="Q219" s="774"/>
      <c r="R219" s="768"/>
    </row>
    <row r="220" spans="1:30" s="752" customFormat="1" ht="17.25" customHeight="1">
      <c r="A220" s="799"/>
      <c r="B220" s="1053" t="s">
        <v>597</v>
      </c>
      <c r="C220" s="1053"/>
      <c r="D220" s="1053"/>
      <c r="E220" s="1053"/>
      <c r="F220" s="1053"/>
      <c r="G220" s="1053"/>
      <c r="H220" s="800">
        <v>1</v>
      </c>
      <c r="I220" s="751" t="s">
        <v>1</v>
      </c>
      <c r="J220" s="801">
        <v>7.2</v>
      </c>
      <c r="K220" s="751" t="s">
        <v>1</v>
      </c>
      <c r="L220" s="801">
        <v>1.2</v>
      </c>
      <c r="M220" s="802" t="s">
        <v>0</v>
      </c>
      <c r="N220" s="803">
        <f>L220*J220*H220</f>
        <v>8.64</v>
      </c>
      <c r="O220" s="762" t="s">
        <v>655</v>
      </c>
      <c r="P220" s="764"/>
      <c r="Q220" s="774"/>
      <c r="R220" s="768"/>
    </row>
    <row r="221" spans="1:30" s="752" customFormat="1">
      <c r="A221" s="799"/>
      <c r="B221" s="1039" t="s">
        <v>602</v>
      </c>
      <c r="C221" s="1039"/>
      <c r="D221" s="1039"/>
      <c r="E221" s="1039"/>
      <c r="F221" s="1039"/>
      <c r="G221" s="1039"/>
      <c r="H221" s="800"/>
      <c r="I221" s="751"/>
      <c r="J221" s="801"/>
      <c r="K221" s="751"/>
      <c r="L221" s="801"/>
      <c r="M221" s="802"/>
      <c r="N221" s="803"/>
      <c r="O221" s="762"/>
      <c r="P221" s="764"/>
      <c r="Q221" s="774"/>
      <c r="R221" s="768"/>
    </row>
    <row r="222" spans="1:30" s="752" customFormat="1" ht="17.25" customHeight="1">
      <c r="A222" s="799"/>
      <c r="B222" s="1042" t="s">
        <v>600</v>
      </c>
      <c r="C222" s="1042"/>
      <c r="D222" s="1042"/>
      <c r="E222" s="1042"/>
      <c r="F222" s="800"/>
      <c r="G222" s="751"/>
      <c r="H222" s="800">
        <v>1</v>
      </c>
      <c r="I222" s="751" t="s">
        <v>1</v>
      </c>
      <c r="J222" s="801">
        <v>2.7</v>
      </c>
      <c r="K222" s="751" t="s">
        <v>1</v>
      </c>
      <c r="L222" s="801">
        <v>4.7</v>
      </c>
      <c r="M222" s="802" t="s">
        <v>0</v>
      </c>
      <c r="N222" s="803">
        <f>L222*J222*H222</f>
        <v>12.690000000000001</v>
      </c>
      <c r="O222" s="762" t="s">
        <v>655</v>
      </c>
      <c r="P222" s="760"/>
      <c r="Q222" s="770"/>
      <c r="R222" s="768"/>
    </row>
    <row r="223" spans="1:30" s="752" customFormat="1" ht="17.25" customHeight="1">
      <c r="A223" s="799"/>
      <c r="B223" s="1053" t="s">
        <v>604</v>
      </c>
      <c r="C223" s="1053"/>
      <c r="D223" s="1053"/>
      <c r="E223" s="1053"/>
      <c r="F223" s="1053"/>
      <c r="G223" s="1053"/>
      <c r="H223" s="800">
        <v>2</v>
      </c>
      <c r="I223" s="751" t="s">
        <v>1</v>
      </c>
      <c r="J223" s="801">
        <v>9.4</v>
      </c>
      <c r="K223" s="751" t="s">
        <v>1</v>
      </c>
      <c r="L223" s="801">
        <v>3.5</v>
      </c>
      <c r="M223" s="802" t="s">
        <v>0</v>
      </c>
      <c r="N223" s="803">
        <f>L223*J223*H223</f>
        <v>65.8</v>
      </c>
      <c r="O223" s="762" t="s">
        <v>655</v>
      </c>
      <c r="P223" s="760"/>
      <c r="Q223" s="770"/>
      <c r="R223" s="768"/>
    </row>
    <row r="224" spans="1:30" s="752" customFormat="1" ht="17.25">
      <c r="A224" s="756"/>
      <c r="B224" s="750" t="s">
        <v>468</v>
      </c>
      <c r="F224" s="757"/>
      <c r="G224" s="758"/>
      <c r="H224" s="757">
        <f>3*12</f>
        <v>36</v>
      </c>
      <c r="I224" s="758" t="s">
        <v>1</v>
      </c>
      <c r="J224" s="757">
        <v>1</v>
      </c>
      <c r="K224" s="758" t="s">
        <v>1</v>
      </c>
      <c r="L224" s="865">
        <v>0.6</v>
      </c>
      <c r="M224" s="866" t="s">
        <v>0</v>
      </c>
      <c r="N224" s="867">
        <f>L224*J224*H224</f>
        <v>21.599999999999998</v>
      </c>
      <c r="O224" s="868" t="s">
        <v>655</v>
      </c>
      <c r="P224" s="750"/>
      <c r="Q224" s="750"/>
      <c r="R224" s="762"/>
      <c r="U224" s="769"/>
      <c r="V224" s="769"/>
      <c r="W224" s="769"/>
      <c r="X224" s="753"/>
      <c r="Y224" s="754"/>
      <c r="Z224" s="754"/>
      <c r="AA224" s="754"/>
      <c r="AB224" s="754"/>
      <c r="AC224" s="755"/>
      <c r="AD224" s="754"/>
    </row>
    <row r="225" spans="1:24" s="157" customFormat="1" ht="17.25">
      <c r="A225" s="493"/>
      <c r="B225" s="211"/>
      <c r="C225" s="211"/>
      <c r="D225" s="211"/>
      <c r="E225" s="211"/>
      <c r="F225" s="211"/>
      <c r="G225" s="211"/>
      <c r="H225" s="211"/>
      <c r="I225" s="190"/>
      <c r="J225" s="236"/>
      <c r="K225" s="712"/>
      <c r="L225" s="233" t="s">
        <v>8</v>
      </c>
      <c r="M225" s="709" t="s">
        <v>0</v>
      </c>
      <c r="N225" s="213">
        <f>SUM(N210:N224)</f>
        <v>2896.12</v>
      </c>
      <c r="O225" s="715" t="s">
        <v>420</v>
      </c>
      <c r="P225" s="200"/>
      <c r="Q225" s="185"/>
      <c r="R225" s="244"/>
    </row>
    <row r="226" spans="1:24" s="157" customFormat="1">
      <c r="A226" s="493"/>
      <c r="B226" s="185"/>
      <c r="C226" s="185"/>
      <c r="D226" s="185"/>
      <c r="E226" s="185"/>
      <c r="F226" s="185"/>
      <c r="G226" s="185"/>
      <c r="H226" s="185"/>
      <c r="I226" s="185"/>
      <c r="J226" s="780" t="s">
        <v>350</v>
      </c>
      <c r="K226" s="781" t="s">
        <v>11</v>
      </c>
      <c r="L226" s="1047">
        <v>126</v>
      </c>
      <c r="M226" s="1047"/>
      <c r="N226" s="820" t="s">
        <v>527</v>
      </c>
      <c r="O226" s="715"/>
      <c r="P226" s="701" t="s">
        <v>0</v>
      </c>
      <c r="Q226" s="793" t="s">
        <v>11</v>
      </c>
      <c r="R226" s="794">
        <f>ROUND(N225*L226,0)</f>
        <v>364911</v>
      </c>
    </row>
    <row r="227" spans="1:24" s="157" customFormat="1">
      <c r="A227" s="493"/>
      <c r="B227" s="185"/>
      <c r="C227" s="185"/>
      <c r="D227" s="185"/>
      <c r="E227" s="185"/>
      <c r="F227" s="185"/>
      <c r="G227" s="185"/>
      <c r="H227" s="185"/>
      <c r="I227" s="185"/>
      <c r="J227" s="780"/>
      <c r="K227" s="781"/>
      <c r="L227" s="781"/>
      <c r="M227" s="781"/>
      <c r="N227" s="820"/>
      <c r="O227" s="715"/>
      <c r="P227" s="701"/>
      <c r="Q227" s="793"/>
      <c r="R227" s="794"/>
    </row>
    <row r="228" spans="1:24" s="43" customFormat="1" ht="63" customHeight="1">
      <c r="A228" s="693" t="s">
        <v>644</v>
      </c>
      <c r="B228" s="1051" t="s">
        <v>637</v>
      </c>
      <c r="C228" s="1051"/>
      <c r="D228" s="1051"/>
      <c r="E228" s="1051"/>
      <c r="F228" s="1051"/>
      <c r="G228" s="1051"/>
      <c r="H228" s="1051"/>
      <c r="I228" s="1051"/>
      <c r="J228" s="1051"/>
      <c r="K228" s="1051"/>
      <c r="L228" s="1051"/>
      <c r="M228" s="1051"/>
      <c r="N228" s="1051"/>
      <c r="O228" s="1051"/>
      <c r="P228" s="200"/>
      <c r="Q228" s="793"/>
      <c r="R228" s="794"/>
    </row>
    <row r="229" spans="1:24" s="157" customFormat="1" ht="16.5" customHeight="1">
      <c r="A229" s="693"/>
      <c r="B229" s="1038" t="s">
        <v>635</v>
      </c>
      <c r="C229" s="1038"/>
      <c r="D229" s="1038"/>
      <c r="E229" s="1038"/>
      <c r="F229" s="1038"/>
      <c r="G229" s="1038"/>
      <c r="H229" s="1038"/>
      <c r="I229" s="1038"/>
      <c r="J229" s="1038"/>
      <c r="K229" s="1038"/>
      <c r="L229" s="1038"/>
      <c r="M229" s="1038"/>
      <c r="N229" s="1038"/>
      <c r="O229" s="1038"/>
      <c r="P229" s="200"/>
      <c r="Q229" s="793"/>
      <c r="R229" s="794"/>
    </row>
    <row r="230" spans="1:24" s="43" customFormat="1" ht="15.75">
      <c r="A230" s="693"/>
      <c r="B230" s="814"/>
      <c r="C230" s="814"/>
      <c r="D230" s="814"/>
      <c r="E230" s="998" t="s">
        <v>636</v>
      </c>
      <c r="F230" s="998"/>
      <c r="G230" s="998"/>
      <c r="H230" s="998"/>
      <c r="I230" s="998"/>
      <c r="J230" s="998"/>
      <c r="K230" s="998"/>
      <c r="L230" s="998"/>
      <c r="M230" s="998"/>
      <c r="N230" s="998"/>
      <c r="O230" s="998"/>
      <c r="P230" s="200"/>
      <c r="Q230" s="793"/>
      <c r="R230" s="794"/>
    </row>
    <row r="231" spans="1:24" s="157" customFormat="1">
      <c r="A231" s="693"/>
      <c r="B231" s="1038"/>
      <c r="C231" s="1038"/>
      <c r="D231" s="1038"/>
      <c r="E231" s="1038"/>
      <c r="F231" s="1038"/>
      <c r="G231" s="1038"/>
      <c r="H231" s="236"/>
      <c r="I231" s="716"/>
      <c r="J231" s="236">
        <v>3</v>
      </c>
      <c r="K231" s="716" t="s">
        <v>1</v>
      </c>
      <c r="L231" s="796">
        <v>4</v>
      </c>
      <c r="M231" s="823" t="s">
        <v>0</v>
      </c>
      <c r="N231" s="705">
        <f>J231*L231</f>
        <v>12</v>
      </c>
      <c r="O231" s="1066" t="s">
        <v>638</v>
      </c>
      <c r="P231" s="1066"/>
      <c r="Q231" s="699"/>
      <c r="R231" s="700"/>
      <c r="T231" s="168"/>
      <c r="X231" s="361"/>
    </row>
    <row r="232" spans="1:24" s="157" customFormat="1">
      <c r="A232" s="493"/>
      <c r="B232" s="777"/>
      <c r="C232" s="777"/>
      <c r="D232" s="777"/>
      <c r="E232" s="777"/>
      <c r="F232" s="777"/>
      <c r="G232" s="777"/>
      <c r="H232" s="777"/>
      <c r="I232" s="701"/>
      <c r="J232" s="236"/>
      <c r="K232" s="716"/>
      <c r="L232" s="233" t="s">
        <v>8</v>
      </c>
      <c r="M232" s="776" t="s">
        <v>0</v>
      </c>
      <c r="N232" s="702">
        <f>N231*1</f>
        <v>12</v>
      </c>
      <c r="O232" s="1067" t="s">
        <v>638</v>
      </c>
      <c r="P232" s="1067"/>
      <c r="Q232" s="185"/>
      <c r="R232" s="244"/>
    </row>
    <row r="233" spans="1:24" s="157" customFormat="1">
      <c r="A233" s="493"/>
      <c r="B233" s="185"/>
      <c r="C233" s="185"/>
      <c r="D233" s="185"/>
      <c r="E233" s="185"/>
      <c r="F233" s="185"/>
      <c r="G233" s="185"/>
      <c r="H233" s="185"/>
      <c r="I233" s="185"/>
      <c r="J233" s="780" t="s">
        <v>350</v>
      </c>
      <c r="K233" s="781" t="s">
        <v>11</v>
      </c>
      <c r="L233" s="1047">
        <v>4839</v>
      </c>
      <c r="M233" s="1047"/>
      <c r="N233" s="687" t="s">
        <v>639</v>
      </c>
      <c r="O233" s="715"/>
      <c r="P233" s="701" t="s">
        <v>0</v>
      </c>
      <c r="Q233" s="793" t="s">
        <v>11</v>
      </c>
      <c r="R233" s="794">
        <f>L233*N232</f>
        <v>58068</v>
      </c>
    </row>
    <row r="234" spans="1:24" s="157" customFormat="1">
      <c r="A234" s="860"/>
      <c r="B234" s="185"/>
      <c r="C234" s="185"/>
      <c r="D234" s="185"/>
      <c r="E234" s="185"/>
      <c r="F234" s="185"/>
      <c r="G234" s="185"/>
      <c r="H234" s="185"/>
      <c r="I234" s="185"/>
      <c r="J234" s="780"/>
      <c r="K234" s="858"/>
      <c r="L234" s="858"/>
      <c r="M234" s="858"/>
      <c r="N234" s="857"/>
      <c r="O234" s="715"/>
      <c r="P234" s="701"/>
      <c r="Q234" s="793"/>
      <c r="R234" s="794"/>
    </row>
    <row r="235" spans="1:24" s="43" customFormat="1" ht="15.75">
      <c r="A235" s="693"/>
      <c r="B235" s="814"/>
      <c r="C235" s="814"/>
      <c r="D235" s="814"/>
      <c r="E235" s="814"/>
      <c r="F235" s="814"/>
      <c r="G235" s="814"/>
      <c r="H235" s="814"/>
      <c r="I235" s="814"/>
      <c r="J235" s="814"/>
      <c r="K235" s="814"/>
      <c r="L235" s="814"/>
      <c r="M235" s="814"/>
      <c r="N235" s="814"/>
      <c r="O235" s="827" t="s">
        <v>24</v>
      </c>
      <c r="P235" s="828" t="s">
        <v>0</v>
      </c>
      <c r="Q235" s="829" t="s">
        <v>11</v>
      </c>
      <c r="R235" s="830">
        <f>SUM(R201:R233)</f>
        <v>6611258.9499999993</v>
      </c>
    </row>
    <row r="236" spans="1:24" s="43" customFormat="1" ht="15.75">
      <c r="A236" s="693"/>
      <c r="B236" s="814"/>
      <c r="C236" s="814"/>
      <c r="D236" s="814"/>
      <c r="E236" s="814"/>
      <c r="F236" s="814"/>
      <c r="G236" s="814"/>
      <c r="H236" s="814"/>
      <c r="I236" s="814"/>
      <c r="J236" s="814"/>
      <c r="K236" s="814"/>
      <c r="L236" s="814"/>
      <c r="M236" s="814"/>
      <c r="N236" s="814"/>
      <c r="O236" s="786" t="s">
        <v>25</v>
      </c>
      <c r="P236" s="828" t="s">
        <v>0</v>
      </c>
      <c r="Q236" s="829" t="s">
        <v>11</v>
      </c>
      <c r="R236" s="830">
        <f>R235</f>
        <v>6611258.9499999993</v>
      </c>
    </row>
    <row r="237" spans="1:24" s="43" customFormat="1" ht="63" customHeight="1">
      <c r="A237" s="693" t="s">
        <v>645</v>
      </c>
      <c r="B237" s="1051" t="s">
        <v>640</v>
      </c>
      <c r="C237" s="1051"/>
      <c r="D237" s="1051"/>
      <c r="E237" s="1051"/>
      <c r="F237" s="1051"/>
      <c r="G237" s="1051"/>
      <c r="H237" s="1051"/>
      <c r="I237" s="1051"/>
      <c r="J237" s="1051"/>
      <c r="K237" s="1051"/>
      <c r="L237" s="1051"/>
      <c r="M237" s="1051"/>
      <c r="N237" s="1051"/>
      <c r="O237" s="1051"/>
      <c r="P237" s="200"/>
      <c r="Q237" s="793"/>
      <c r="R237" s="794"/>
    </row>
    <row r="238" spans="1:24" s="157" customFormat="1" ht="16.5" customHeight="1">
      <c r="A238" s="693"/>
      <c r="B238" s="1052" t="s">
        <v>641</v>
      </c>
      <c r="C238" s="1052"/>
      <c r="D238" s="1052"/>
      <c r="E238" s="1052"/>
      <c r="F238" s="1052"/>
      <c r="G238" s="1052"/>
      <c r="H238" s="1052"/>
      <c r="I238" s="1052"/>
      <c r="J238" s="1052"/>
      <c r="K238" s="1052"/>
      <c r="L238" s="1052"/>
      <c r="M238" s="1052"/>
      <c r="N238" s="1052"/>
      <c r="O238" s="1052"/>
      <c r="P238" s="200"/>
      <c r="Q238" s="793"/>
      <c r="R238" s="794"/>
    </row>
    <row r="239" spans="1:24" s="157" customFormat="1" ht="16.5" customHeight="1">
      <c r="A239" s="693"/>
      <c r="B239" s="998" t="s">
        <v>642</v>
      </c>
      <c r="C239" s="998"/>
      <c r="D239" s="998"/>
      <c r="E239" s="998"/>
      <c r="F239" s="998"/>
      <c r="G239" s="998"/>
      <c r="H239" s="998"/>
      <c r="I239" s="826"/>
      <c r="J239" s="826"/>
      <c r="K239" s="826"/>
      <c r="L239" s="826"/>
      <c r="M239" s="826"/>
      <c r="N239" s="826"/>
      <c r="O239" s="826"/>
      <c r="P239" s="200"/>
      <c r="Q239" s="793"/>
      <c r="R239" s="794"/>
    </row>
    <row r="240" spans="1:24" s="157" customFormat="1">
      <c r="A240" s="693"/>
      <c r="B240" s="998" t="s">
        <v>643</v>
      </c>
      <c r="C240" s="998"/>
      <c r="D240" s="998"/>
      <c r="E240" s="998"/>
      <c r="F240" s="998"/>
      <c r="G240" s="998"/>
      <c r="H240" s="998"/>
      <c r="I240" s="826"/>
      <c r="J240" s="826"/>
      <c r="K240" s="826"/>
      <c r="L240" s="826"/>
      <c r="M240" s="826"/>
      <c r="N240" s="826"/>
      <c r="O240" s="826"/>
      <c r="P240" s="200"/>
      <c r="Q240" s="793"/>
      <c r="R240" s="794"/>
    </row>
    <row r="241" spans="1:30" s="157" customFormat="1">
      <c r="A241" s="693"/>
      <c r="B241" s="1038"/>
      <c r="C241" s="1038"/>
      <c r="D241" s="1038"/>
      <c r="E241" s="1038"/>
      <c r="F241" s="1038"/>
      <c r="G241" s="1038"/>
      <c r="H241" s="236"/>
      <c r="I241" s="716"/>
      <c r="J241" s="236">
        <v>3</v>
      </c>
      <c r="K241" s="716" t="s">
        <v>1</v>
      </c>
      <c r="L241" s="796">
        <v>4</v>
      </c>
      <c r="M241" s="823" t="s">
        <v>0</v>
      </c>
      <c r="N241" s="705">
        <f>J241*L241</f>
        <v>12</v>
      </c>
      <c r="O241" s="1066" t="s">
        <v>638</v>
      </c>
      <c r="P241" s="1066"/>
      <c r="Q241" s="699"/>
      <c r="R241" s="700"/>
      <c r="T241" s="168"/>
      <c r="X241" s="361"/>
    </row>
    <row r="242" spans="1:30" s="157" customFormat="1">
      <c r="A242" s="493"/>
      <c r="B242" s="777"/>
      <c r="C242" s="777"/>
      <c r="D242" s="777"/>
      <c r="E242" s="777"/>
      <c r="F242" s="777"/>
      <c r="G242" s="777"/>
      <c r="H242" s="777"/>
      <c r="I242" s="701"/>
      <c r="J242" s="236"/>
      <c r="K242" s="716"/>
      <c r="L242" s="233" t="s">
        <v>8</v>
      </c>
      <c r="M242" s="776" t="s">
        <v>0</v>
      </c>
      <c r="N242" s="702">
        <f>N241*1</f>
        <v>12</v>
      </c>
      <c r="O242" s="1067" t="s">
        <v>638</v>
      </c>
      <c r="P242" s="1067"/>
      <c r="Q242" s="185"/>
      <c r="R242" s="244"/>
    </row>
    <row r="243" spans="1:30" s="157" customFormat="1">
      <c r="A243" s="493"/>
      <c r="B243" s="185"/>
      <c r="C243" s="185"/>
      <c r="D243" s="185"/>
      <c r="E243" s="185"/>
      <c r="F243" s="185"/>
      <c r="G243" s="185"/>
      <c r="H243" s="185"/>
      <c r="I243" s="185"/>
      <c r="J243" s="780" t="s">
        <v>350</v>
      </c>
      <c r="K243" s="781" t="s">
        <v>11</v>
      </c>
      <c r="L243" s="1047">
        <v>4865</v>
      </c>
      <c r="M243" s="1047"/>
      <c r="N243" s="687" t="s">
        <v>639</v>
      </c>
      <c r="O243" s="715"/>
      <c r="P243" s="704" t="s">
        <v>0</v>
      </c>
      <c r="Q243" s="831" t="s">
        <v>11</v>
      </c>
      <c r="R243" s="832">
        <f>L243*N242</f>
        <v>58380</v>
      </c>
    </row>
    <row r="244" spans="1:30" s="157" customFormat="1" ht="15" customHeight="1">
      <c r="A244" s="493"/>
      <c r="B244" s="185"/>
      <c r="C244" s="185"/>
      <c r="D244" s="185"/>
      <c r="E244" s="185"/>
      <c r="F244" s="185"/>
      <c r="G244" s="185"/>
      <c r="H244" s="185"/>
      <c r="I244" s="185"/>
      <c r="J244" s="780"/>
      <c r="K244" s="781"/>
      <c r="L244" s="781"/>
      <c r="M244" s="781"/>
      <c r="N244" s="1061" t="s">
        <v>369</v>
      </c>
      <c r="O244" s="1061"/>
      <c r="P244" s="828" t="s">
        <v>0</v>
      </c>
      <c r="Q244" s="829" t="s">
        <v>11</v>
      </c>
      <c r="R244" s="834">
        <f>SUM(R236:R243)</f>
        <v>6669638.9499999993</v>
      </c>
    </row>
    <row r="245" spans="1:30" s="157" customFormat="1" ht="15" customHeight="1">
      <c r="A245" s="497"/>
      <c r="B245" s="835"/>
      <c r="C245" s="835"/>
      <c r="D245" s="835"/>
      <c r="E245" s="835"/>
      <c r="F245" s="835"/>
      <c r="G245" s="835"/>
      <c r="H245" s="835"/>
      <c r="I245" s="835"/>
      <c r="J245" s="835"/>
      <c r="K245" s="835"/>
      <c r="L245" s="835"/>
      <c r="M245" s="835"/>
      <c r="N245" s="1061" t="s">
        <v>351</v>
      </c>
      <c r="O245" s="1061"/>
      <c r="P245" s="836" t="s">
        <v>0</v>
      </c>
      <c r="Q245" s="837" t="s">
        <v>11</v>
      </c>
      <c r="R245" s="830" t="s">
        <v>666</v>
      </c>
    </row>
    <row r="246" spans="1:30" ht="19.5" customHeight="1">
      <c r="A246" s="728"/>
      <c r="B246" s="729"/>
      <c r="C246" s="729"/>
      <c r="D246" s="729"/>
      <c r="E246" s="729"/>
      <c r="F246" s="729"/>
      <c r="G246" s="729"/>
      <c r="H246" s="729"/>
      <c r="I246" s="729"/>
      <c r="J246" s="729"/>
      <c r="K246" s="729"/>
      <c r="L246" s="729"/>
      <c r="M246" s="729"/>
      <c r="N246" s="727"/>
      <c r="O246" s="732"/>
      <c r="P246" s="730"/>
      <c r="Q246" s="731"/>
      <c r="R246" s="722"/>
    </row>
    <row r="247" spans="1:30" s="157" customFormat="1" ht="15" customHeight="1">
      <c r="A247" s="1062" t="s">
        <v>667</v>
      </c>
      <c r="B247" s="1062"/>
      <c r="C247" s="1062"/>
      <c r="D247" s="1062"/>
      <c r="E247" s="1062"/>
      <c r="F247" s="1062"/>
      <c r="G247" s="1062"/>
      <c r="H247" s="1062"/>
      <c r="I247" s="1062"/>
      <c r="J247" s="1062"/>
      <c r="K247" s="1062"/>
      <c r="L247" s="1062"/>
      <c r="M247" s="1062"/>
      <c r="N247" s="1062"/>
      <c r="O247" s="1062"/>
      <c r="P247" s="1062"/>
      <c r="Q247" s="1062"/>
      <c r="R247" s="1062"/>
    </row>
    <row r="248" spans="1:30" s="157" customFormat="1">
      <c r="A248" s="1062"/>
      <c r="B248" s="1062"/>
      <c r="C248" s="1062"/>
      <c r="D248" s="1062"/>
      <c r="E248" s="1062"/>
      <c r="F248" s="1062"/>
      <c r="G248" s="1062"/>
      <c r="H248" s="1062"/>
      <c r="I248" s="1062"/>
      <c r="J248" s="1062"/>
      <c r="K248" s="1062"/>
      <c r="L248" s="1062"/>
      <c r="M248" s="1062"/>
      <c r="N248" s="1062"/>
      <c r="O248" s="1062"/>
      <c r="P248" s="1062"/>
      <c r="Q248" s="1062"/>
      <c r="R248" s="1062"/>
    </row>
    <row r="249" spans="1:30" s="157" customFormat="1">
      <c r="A249" s="883"/>
      <c r="B249" s="883"/>
      <c r="C249" s="883"/>
      <c r="D249" s="883"/>
      <c r="E249" s="883"/>
      <c r="F249" s="883"/>
      <c r="G249" s="883"/>
      <c r="H249" s="883"/>
      <c r="I249" s="883"/>
      <c r="J249" s="883"/>
      <c r="K249" s="883"/>
      <c r="L249" s="883"/>
      <c r="M249" s="883"/>
      <c r="N249" s="883"/>
      <c r="O249" s="883"/>
      <c r="P249" s="883"/>
      <c r="Q249" s="883"/>
      <c r="R249" s="883"/>
    </row>
    <row r="250" spans="1:30" s="157" customFormat="1">
      <c r="A250" s="883"/>
      <c r="B250" s="883"/>
      <c r="C250" s="883"/>
      <c r="D250" s="883"/>
      <c r="E250" s="883"/>
      <c r="F250" s="883"/>
      <c r="G250" s="883"/>
      <c r="H250" s="883"/>
      <c r="I250" s="883"/>
      <c r="J250" s="883"/>
      <c r="K250" s="883"/>
      <c r="L250" s="883"/>
      <c r="M250" s="883"/>
      <c r="N250" s="883"/>
      <c r="O250" s="883"/>
      <c r="P250" s="883"/>
      <c r="Q250" s="883"/>
      <c r="R250" s="883"/>
    </row>
    <row r="251" spans="1:30" s="157" customFormat="1" ht="15" customHeight="1">
      <c r="A251" s="786"/>
      <c r="B251" s="200"/>
      <c r="C251" s="200"/>
      <c r="D251" s="200"/>
      <c r="E251" s="200"/>
      <c r="F251" s="204"/>
      <c r="G251" s="793"/>
      <c r="H251" s="200"/>
      <c r="I251" s="838"/>
      <c r="J251" s="702"/>
      <c r="K251" s="200"/>
      <c r="L251" s="797"/>
      <c r="M251" s="776"/>
      <c r="N251" s="200"/>
      <c r="O251" s="715"/>
      <c r="P251" s="200"/>
      <c r="Q251" s="793"/>
      <c r="R251" s="839"/>
    </row>
    <row r="252" spans="1:30" s="159" customFormat="1" ht="14.25" customHeight="1">
      <c r="A252" s="821"/>
      <c r="B252" s="157"/>
      <c r="C252" s="157"/>
      <c r="D252" s="157"/>
      <c r="E252" s="157"/>
      <c r="F252" s="840"/>
      <c r="G252" s="841"/>
      <c r="H252" s="157"/>
      <c r="I252" s="842"/>
      <c r="J252" s="843"/>
      <c r="K252" s="157"/>
      <c r="L252" s="844"/>
      <c r="M252" s="845"/>
      <c r="N252" s="168"/>
      <c r="O252" s="846"/>
      <c r="P252" s="168"/>
      <c r="Q252" s="847"/>
      <c r="R252" s="839"/>
      <c r="W252" s="157"/>
      <c r="X252" s="157"/>
      <c r="Y252" s="157"/>
      <c r="Z252" s="157"/>
      <c r="AA252" s="157"/>
      <c r="AB252" s="157"/>
      <c r="AC252" s="157"/>
      <c r="AD252" s="157"/>
    </row>
    <row r="253" spans="1:30" s="159" customFormat="1" ht="14.25" customHeight="1">
      <c r="A253" s="1060" t="s">
        <v>537</v>
      </c>
      <c r="B253" s="1060"/>
      <c r="C253" s="1060"/>
      <c r="D253" s="1060"/>
      <c r="E253" s="848"/>
      <c r="F253" s="267"/>
      <c r="G253" s="1060" t="s">
        <v>538</v>
      </c>
      <c r="H253" s="1060"/>
      <c r="I253" s="1060"/>
      <c r="J253" s="848"/>
      <c r="K253" s="1060" t="s">
        <v>539</v>
      </c>
      <c r="L253" s="1060"/>
      <c r="M253" s="1060"/>
      <c r="N253" s="1060"/>
      <c r="O253" s="267"/>
      <c r="P253" s="1060" t="s">
        <v>540</v>
      </c>
      <c r="Q253" s="1060"/>
      <c r="R253" s="1060"/>
      <c r="W253" s="157"/>
      <c r="X253" s="157"/>
      <c r="Y253" s="157"/>
      <c r="Z253" s="157"/>
      <c r="AA253" s="157"/>
      <c r="AB253" s="157"/>
      <c r="AC253" s="157"/>
      <c r="AD253" s="157"/>
    </row>
    <row r="254" spans="1:30" s="159" customFormat="1" ht="14.25" customHeight="1">
      <c r="A254" s="1060"/>
      <c r="B254" s="1060"/>
      <c r="C254" s="1060"/>
      <c r="D254" s="1060"/>
      <c r="E254" s="267"/>
      <c r="F254" s="849"/>
      <c r="G254" s="1060"/>
      <c r="H254" s="1060"/>
      <c r="I254" s="1060"/>
      <c r="J254" s="850"/>
      <c r="K254" s="1060"/>
      <c r="L254" s="1060"/>
      <c r="M254" s="1060"/>
      <c r="N254" s="1060"/>
      <c r="O254" s="849"/>
      <c r="P254" s="1060"/>
      <c r="Q254" s="1060"/>
      <c r="R254" s="1060"/>
      <c r="W254" s="157"/>
      <c r="X254" s="157"/>
      <c r="Y254" s="157"/>
      <c r="Z254" s="157"/>
      <c r="AA254" s="157"/>
      <c r="AB254" s="157"/>
      <c r="AC254" s="157"/>
      <c r="AD254" s="157"/>
    </row>
    <row r="255" spans="1:30" s="719" customFormat="1" ht="14.25" customHeight="1">
      <c r="A255" s="720"/>
      <c r="B255" s="683"/>
      <c r="C255" s="683"/>
      <c r="D255" s="683"/>
      <c r="E255" s="683"/>
      <c r="F255" s="734"/>
      <c r="G255" s="735"/>
      <c r="H255" s="683"/>
      <c r="I255" s="736"/>
      <c r="J255" s="737"/>
      <c r="K255" s="683"/>
      <c r="L255" s="738"/>
      <c r="M255" s="739"/>
      <c r="N255" s="721"/>
      <c r="O255" s="740"/>
      <c r="P255" s="721"/>
      <c r="Q255" s="741"/>
      <c r="R255" s="733"/>
      <c r="W255" s="683"/>
      <c r="X255" s="683"/>
      <c r="Y255" s="683"/>
      <c r="Z255" s="683"/>
      <c r="AA255" s="683"/>
      <c r="AB255" s="683"/>
      <c r="AC255" s="683"/>
      <c r="AD255" s="683"/>
    </row>
    <row r="256" spans="1:30" ht="15" customHeight="1">
      <c r="F256" s="734"/>
      <c r="G256" s="735"/>
      <c r="I256" s="736"/>
      <c r="J256" s="737"/>
      <c r="L256" s="738"/>
      <c r="M256" s="739"/>
      <c r="N256" s="721"/>
      <c r="O256" s="740"/>
      <c r="P256" s="721"/>
      <c r="Q256" s="741"/>
      <c r="R256" s="733"/>
    </row>
    <row r="257" spans="1:21" ht="13.5" customHeight="1">
      <c r="F257" s="734"/>
      <c r="G257" s="735"/>
      <c r="I257" s="736"/>
      <c r="J257" s="737"/>
      <c r="L257" s="738"/>
      <c r="M257" s="739"/>
      <c r="N257" s="721"/>
      <c r="O257" s="740"/>
      <c r="P257" s="721"/>
      <c r="Q257" s="741"/>
      <c r="R257" s="733"/>
    </row>
    <row r="258" spans="1:21" ht="27.75" customHeight="1">
      <c r="F258" s="734"/>
      <c r="G258" s="735"/>
      <c r="I258" s="736"/>
      <c r="J258" s="737"/>
      <c r="L258" s="738"/>
      <c r="M258" s="739"/>
      <c r="N258" s="721"/>
      <c r="O258" s="740"/>
      <c r="P258" s="721"/>
      <c r="Q258" s="741"/>
      <c r="R258" s="733"/>
    </row>
    <row r="259" spans="1:21" s="689" customFormat="1" ht="14.25" customHeight="1">
      <c r="A259" s="743"/>
      <c r="B259" s="744"/>
      <c r="C259" s="1059"/>
      <c r="D259" s="1059"/>
      <c r="E259" s="1059"/>
      <c r="F259" s="1059"/>
      <c r="G259" s="1059"/>
      <c r="H259" s="1059"/>
      <c r="I259" s="1059"/>
      <c r="J259" s="1059"/>
      <c r="K259" s="745"/>
      <c r="L259" s="746"/>
      <c r="M259" s="747"/>
      <c r="N259" s="747"/>
      <c r="O259" s="747"/>
      <c r="P259" s="747"/>
      <c r="Q259" s="747"/>
      <c r="R259" s="747"/>
      <c r="S259" s="747"/>
      <c r="T259" s="748"/>
      <c r="U259" s="747"/>
    </row>
    <row r="260" spans="1:21" s="689" customFormat="1" ht="14.25" customHeight="1">
      <c r="A260" s="743"/>
      <c r="B260" s="744"/>
      <c r="C260" s="1059"/>
      <c r="D260" s="1059"/>
      <c r="E260" s="1059"/>
      <c r="F260" s="1059"/>
      <c r="G260" s="1059"/>
      <c r="H260" s="1059"/>
      <c r="I260" s="1059"/>
      <c r="J260" s="1059"/>
      <c r="K260" s="745"/>
      <c r="L260" s="746"/>
      <c r="M260" s="747"/>
      <c r="N260" s="747"/>
      <c r="O260" s="747"/>
      <c r="P260" s="747"/>
      <c r="Q260" s="747"/>
      <c r="R260" s="747"/>
      <c r="S260" s="747"/>
      <c r="T260" s="748"/>
      <c r="U260" s="747"/>
    </row>
    <row r="271" spans="1:21" ht="15" customHeight="1">
      <c r="F271" s="734"/>
      <c r="G271" s="735"/>
      <c r="I271" s="736"/>
      <c r="J271" s="737"/>
      <c r="L271" s="738"/>
      <c r="M271" s="739"/>
      <c r="N271" s="721"/>
      <c r="O271" s="740"/>
      <c r="P271" s="721"/>
      <c r="Q271" s="741"/>
      <c r="R271" s="733"/>
    </row>
    <row r="272" spans="1:21" ht="14.25" customHeight="1">
      <c r="F272" s="734"/>
      <c r="G272" s="735"/>
      <c r="I272" s="736"/>
      <c r="J272" s="737"/>
      <c r="L272" s="738"/>
      <c r="M272" s="739"/>
      <c r="N272" s="721"/>
      <c r="O272" s="740"/>
      <c r="P272" s="721"/>
      <c r="Q272" s="741"/>
      <c r="R272" s="733"/>
    </row>
    <row r="273" spans="1:30" ht="13.5" customHeight="1">
      <c r="F273" s="734"/>
      <c r="G273" s="735"/>
      <c r="I273" s="736"/>
      <c r="J273" s="737"/>
      <c r="L273" s="738"/>
      <c r="M273" s="739"/>
      <c r="N273" s="721"/>
      <c r="O273" s="740"/>
      <c r="P273" s="721"/>
      <c r="Q273" s="741"/>
      <c r="R273" s="733"/>
    </row>
    <row r="274" spans="1:30" ht="13.5" customHeight="1"/>
    <row r="275" spans="1:30" ht="13.5" customHeight="1"/>
    <row r="276" spans="1:30" ht="15" customHeight="1"/>
    <row r="277" spans="1:30" ht="15.75" customHeight="1"/>
    <row r="278" spans="1:30" ht="16.5" customHeight="1"/>
    <row r="279" spans="1:30" ht="12.75" customHeight="1"/>
    <row r="280" spans="1:30" ht="15" customHeight="1"/>
    <row r="281" spans="1:30" ht="14.25" customHeight="1"/>
    <row r="282" spans="1:30" s="742" customFormat="1" ht="14.25" customHeight="1">
      <c r="A282" s="720"/>
      <c r="B282" s="683"/>
      <c r="C282" s="683"/>
      <c r="D282" s="683"/>
      <c r="E282" s="683"/>
      <c r="F282" s="683"/>
      <c r="G282" s="683"/>
      <c r="H282" s="683"/>
      <c r="I282" s="683"/>
      <c r="J282" s="683"/>
      <c r="K282" s="683"/>
      <c r="L282" s="683"/>
      <c r="M282" s="683"/>
      <c r="N282" s="683"/>
      <c r="P282" s="683"/>
      <c r="Q282" s="683"/>
      <c r="R282" s="749"/>
      <c r="S282" s="683"/>
      <c r="T282" s="683"/>
      <c r="U282" s="683"/>
      <c r="V282" s="683"/>
      <c r="W282" s="683"/>
      <c r="X282" s="683"/>
      <c r="Y282" s="683"/>
      <c r="Z282" s="683"/>
      <c r="AA282" s="683"/>
      <c r="AB282" s="683"/>
      <c r="AC282" s="683"/>
      <c r="AD282" s="683"/>
    </row>
    <row r="300" spans="1:30" s="742" customFormat="1" ht="12.75" customHeight="1">
      <c r="A300" s="720"/>
      <c r="B300" s="683"/>
      <c r="C300" s="683"/>
      <c r="D300" s="683"/>
      <c r="E300" s="683"/>
      <c r="F300" s="683"/>
      <c r="G300" s="683"/>
      <c r="H300" s="683"/>
      <c r="I300" s="683"/>
      <c r="J300" s="683"/>
      <c r="K300" s="683"/>
      <c r="L300" s="683"/>
      <c r="M300" s="683"/>
      <c r="N300" s="683"/>
      <c r="P300" s="683"/>
      <c r="Q300" s="683"/>
      <c r="R300" s="749"/>
      <c r="S300" s="683"/>
      <c r="T300" s="683"/>
      <c r="U300" s="683"/>
      <c r="V300" s="683"/>
      <c r="W300" s="683"/>
      <c r="X300" s="683"/>
      <c r="Y300" s="683"/>
      <c r="Z300" s="683"/>
      <c r="AA300" s="683"/>
      <c r="AB300" s="683"/>
      <c r="AC300" s="683"/>
      <c r="AD300" s="683"/>
    </row>
  </sheetData>
  <mergeCells count="146">
    <mergeCell ref="B241:G241"/>
    <mergeCell ref="O241:P241"/>
    <mergeCell ref="O242:P242"/>
    <mergeCell ref="L243:M243"/>
    <mergeCell ref="B239:H239"/>
    <mergeCell ref="B240:H240"/>
    <mergeCell ref="L183:M183"/>
    <mergeCell ref="B228:O228"/>
    <mergeCell ref="B231:G231"/>
    <mergeCell ref="L233:M233"/>
    <mergeCell ref="B229:O229"/>
    <mergeCell ref="E230:O230"/>
    <mergeCell ref="O231:P231"/>
    <mergeCell ref="O232:P232"/>
    <mergeCell ref="B237:O237"/>
    <mergeCell ref="B218:E218"/>
    <mergeCell ref="B219:E219"/>
    <mergeCell ref="B220:G220"/>
    <mergeCell ref="B221:G221"/>
    <mergeCell ref="B222:E222"/>
    <mergeCell ref="B223:G223"/>
    <mergeCell ref="K114:L114"/>
    <mergeCell ref="B148:G148"/>
    <mergeCell ref="B114:E114"/>
    <mergeCell ref="B113:E113"/>
    <mergeCell ref="O196:P196"/>
    <mergeCell ref="L197:M197"/>
    <mergeCell ref="B204:G204"/>
    <mergeCell ref="L206:M206"/>
    <mergeCell ref="B157:E157"/>
    <mergeCell ref="L144:M144"/>
    <mergeCell ref="B171:O171"/>
    <mergeCell ref="B202:O202"/>
    <mergeCell ref="B138:J138"/>
    <mergeCell ref="B139:J139"/>
    <mergeCell ref="B147:J147"/>
    <mergeCell ref="B185:O185"/>
    <mergeCell ref="B146:O146"/>
    <mergeCell ref="L169:M169"/>
    <mergeCell ref="A1:R2"/>
    <mergeCell ref="A3:R3"/>
    <mergeCell ref="B5:O5"/>
    <mergeCell ref="B48:O48"/>
    <mergeCell ref="B6:Q6"/>
    <mergeCell ref="B7:Q7"/>
    <mergeCell ref="C260:J260"/>
    <mergeCell ref="A253:D254"/>
    <mergeCell ref="P253:R254"/>
    <mergeCell ref="K253:N254"/>
    <mergeCell ref="G253:I254"/>
    <mergeCell ref="N244:O244"/>
    <mergeCell ref="A247:R248"/>
    <mergeCell ref="N245:O245"/>
    <mergeCell ref="C259:J259"/>
    <mergeCell ref="B75:E75"/>
    <mergeCell ref="B54:G54"/>
    <mergeCell ref="B50:O50"/>
    <mergeCell ref="B238:O238"/>
    <mergeCell ref="L226:M226"/>
    <mergeCell ref="L101:M101"/>
    <mergeCell ref="B103:O103"/>
    <mergeCell ref="L115:M115"/>
    <mergeCell ref="B125:O125"/>
    <mergeCell ref="B52:G52"/>
    <mergeCell ref="B53:G53"/>
    <mergeCell ref="B68:G68"/>
    <mergeCell ref="B69:G69"/>
    <mergeCell ref="L64:M64"/>
    <mergeCell ref="B61:G61"/>
    <mergeCell ref="B62:E62"/>
    <mergeCell ref="B71:G71"/>
    <mergeCell ref="B73:G73"/>
    <mergeCell ref="B55:E55"/>
    <mergeCell ref="B56:E56"/>
    <mergeCell ref="B59:E59"/>
    <mergeCell ref="B60:G60"/>
    <mergeCell ref="B57:G57"/>
    <mergeCell ref="B58:G58"/>
    <mergeCell ref="L86:M86"/>
    <mergeCell ref="B66:O66"/>
    <mergeCell ref="B67:J67"/>
    <mergeCell ref="B90:O90"/>
    <mergeCell ref="B74:E74"/>
    <mergeCell ref="B76:G76"/>
    <mergeCell ref="B78:G78"/>
    <mergeCell ref="B137:O137"/>
    <mergeCell ref="K134:L134"/>
    <mergeCell ref="L135:M135"/>
    <mergeCell ref="B126:J126"/>
    <mergeCell ref="B127:G127"/>
    <mergeCell ref="B129:G129"/>
    <mergeCell ref="B131:H131"/>
    <mergeCell ref="B91:O91"/>
    <mergeCell ref="B92:O92"/>
    <mergeCell ref="B100:E100"/>
    <mergeCell ref="B79:E79"/>
    <mergeCell ref="B80:G80"/>
    <mergeCell ref="B85:E85"/>
    <mergeCell ref="K85:L85"/>
    <mergeCell ref="B83:G83"/>
    <mergeCell ref="B84:E84"/>
    <mergeCell ref="K100:L100"/>
    <mergeCell ref="B8:L8"/>
    <mergeCell ref="B9:G9"/>
    <mergeCell ref="B10:G10"/>
    <mergeCell ref="B11:G11"/>
    <mergeCell ref="X12:Y12"/>
    <mergeCell ref="I13:J13"/>
    <mergeCell ref="B14:G14"/>
    <mergeCell ref="B15:G15"/>
    <mergeCell ref="B16:G16"/>
    <mergeCell ref="B17:G17"/>
    <mergeCell ref="I19:J19"/>
    <mergeCell ref="X19:AB19"/>
    <mergeCell ref="B20:J20"/>
    <mergeCell ref="B21:E21"/>
    <mergeCell ref="B23:E23"/>
    <mergeCell ref="I32:J32"/>
    <mergeCell ref="X32:AB32"/>
    <mergeCell ref="B37:J37"/>
    <mergeCell ref="B38:G38"/>
    <mergeCell ref="B39:G39"/>
    <mergeCell ref="I41:J41"/>
    <mergeCell ref="X41:AB41"/>
    <mergeCell ref="I42:L42"/>
    <mergeCell ref="L44:M44"/>
    <mergeCell ref="I36:J36"/>
    <mergeCell ref="X36:AB36"/>
    <mergeCell ref="B51:G51"/>
    <mergeCell ref="B49:O49"/>
    <mergeCell ref="B161:E161"/>
    <mergeCell ref="B163:G163"/>
    <mergeCell ref="B164:E164"/>
    <mergeCell ref="B156:H156"/>
    <mergeCell ref="B166:E166"/>
    <mergeCell ref="B165:E165"/>
    <mergeCell ref="B203:H203"/>
    <mergeCell ref="B209:G209"/>
    <mergeCell ref="B217:G217"/>
    <mergeCell ref="B186:N186"/>
    <mergeCell ref="K192:L192"/>
    <mergeCell ref="H193:J193"/>
    <mergeCell ref="F194:J194"/>
    <mergeCell ref="B187:E187"/>
    <mergeCell ref="B172:H172"/>
    <mergeCell ref="B208:O208"/>
  </mergeCells>
  <pageMargins left="0.39" right="0.46" top="0.6" bottom="0.4" header="0.43" footer="0.42"/>
  <pageSetup paperSize="9"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dimension ref="A1:AO344"/>
  <sheetViews>
    <sheetView view="pageBreakPreview" topLeftCell="A275" zoomScale="110" zoomScaleNormal="85" zoomScaleSheetLayoutView="110" workbookViewId="0">
      <selection activeCell="M305" sqref="M305"/>
    </sheetView>
  </sheetViews>
  <sheetFormatPr defaultRowHeight="16.5"/>
  <cols>
    <col min="1" max="1" width="4.7109375" style="493" customWidth="1"/>
    <col min="2" max="2" width="4.85546875" style="157" customWidth="1"/>
    <col min="3" max="3" width="2.85546875" style="157" customWidth="1"/>
    <col min="4" max="5" width="3.7109375" style="157" customWidth="1"/>
    <col min="6" max="6" width="5.140625" style="157" customWidth="1"/>
    <col min="7" max="7" width="2.7109375" style="157" customWidth="1"/>
    <col min="8" max="8" width="8.140625" style="157" customWidth="1"/>
    <col min="9" max="9" width="2.140625" style="157" customWidth="1"/>
    <col min="10" max="10" width="7.7109375" style="157" customWidth="1"/>
    <col min="11" max="11" width="2.7109375" style="157" customWidth="1"/>
    <col min="12" max="12" width="8" style="157" customWidth="1"/>
    <col min="13" max="13" width="3.140625" style="157" customWidth="1"/>
    <col min="14" max="14" width="9.42578125" style="157" customWidth="1"/>
    <col min="15" max="15" width="4.140625" style="267" customWidth="1"/>
    <col min="16" max="16" width="2.28515625" style="157" customWidth="1"/>
    <col min="17" max="17" width="3.28515625" style="157" customWidth="1"/>
    <col min="18" max="18" width="17.5703125" style="528" customWidth="1"/>
    <col min="19" max="23" width="9.140625" style="157"/>
    <col min="24" max="24" width="22.28515625" style="157" customWidth="1"/>
    <col min="25" max="16384" width="9.140625" style="157"/>
  </cols>
  <sheetData>
    <row r="1" spans="1:18" ht="25.5" customHeight="1">
      <c r="A1" s="1030" t="s">
        <v>513</v>
      </c>
      <c r="B1" s="1030"/>
      <c r="C1" s="1030"/>
      <c r="D1" s="1030"/>
      <c r="E1" s="1030"/>
      <c r="F1" s="1030"/>
      <c r="G1" s="1030"/>
      <c r="H1" s="1030"/>
      <c r="I1" s="1030"/>
      <c r="J1" s="1030"/>
      <c r="K1" s="1030"/>
      <c r="L1" s="1030"/>
      <c r="M1" s="1030"/>
      <c r="N1" s="1030"/>
      <c r="O1" s="1030"/>
      <c r="P1" s="1030"/>
      <c r="Q1" s="1030"/>
      <c r="R1" s="1030"/>
    </row>
    <row r="2" spans="1:18" ht="25.5" customHeight="1">
      <c r="A2" s="1030"/>
      <c r="B2" s="1030"/>
      <c r="C2" s="1030"/>
      <c r="D2" s="1030"/>
      <c r="E2" s="1030"/>
      <c r="F2" s="1030"/>
      <c r="G2" s="1030"/>
      <c r="H2" s="1030"/>
      <c r="I2" s="1030"/>
      <c r="J2" s="1030"/>
      <c r="K2" s="1030"/>
      <c r="L2" s="1030"/>
      <c r="M2" s="1030"/>
      <c r="N2" s="1030"/>
      <c r="O2" s="1030"/>
      <c r="P2" s="1030"/>
      <c r="Q2" s="1030"/>
      <c r="R2" s="1030"/>
    </row>
    <row r="3" spans="1:18" s="159" customFormat="1" ht="28.5" customHeight="1">
      <c r="A3" s="1068" t="s">
        <v>514</v>
      </c>
      <c r="B3" s="1068"/>
      <c r="C3" s="1068"/>
      <c r="D3" s="1068"/>
      <c r="E3" s="1068"/>
      <c r="F3" s="1068"/>
      <c r="G3" s="1068"/>
      <c r="H3" s="1068"/>
      <c r="I3" s="1068"/>
      <c r="J3" s="1068"/>
      <c r="K3" s="1068"/>
      <c r="L3" s="1068"/>
      <c r="M3" s="1068"/>
      <c r="N3" s="1068"/>
      <c r="O3" s="1068"/>
      <c r="P3" s="1068"/>
      <c r="Q3" s="1068"/>
      <c r="R3" s="1068"/>
    </row>
    <row r="4" spans="1:18" s="159" customFormat="1" ht="14.25" customHeight="1">
      <c r="A4" s="488"/>
      <c r="B4" s="161"/>
      <c r="C4" s="160"/>
      <c r="D4" s="160"/>
      <c r="E4" s="160"/>
      <c r="F4" s="160"/>
      <c r="G4" s="160"/>
      <c r="H4" s="160"/>
      <c r="I4" s="160"/>
      <c r="J4" s="160"/>
      <c r="K4" s="160"/>
      <c r="L4" s="160"/>
      <c r="M4" s="160"/>
      <c r="N4" s="160"/>
      <c r="O4" s="160"/>
      <c r="P4" s="160"/>
      <c r="Q4" s="160"/>
      <c r="R4" s="488"/>
    </row>
    <row r="5" spans="1:18" s="43" customFormat="1" ht="56.25" customHeight="1">
      <c r="A5" s="503" t="s">
        <v>490</v>
      </c>
      <c r="B5" s="999" t="s">
        <v>491</v>
      </c>
      <c r="C5" s="999"/>
      <c r="D5" s="999"/>
      <c r="E5" s="999"/>
      <c r="F5" s="999"/>
      <c r="G5" s="999"/>
      <c r="H5" s="999"/>
      <c r="I5" s="999"/>
      <c r="J5" s="999"/>
      <c r="K5" s="999"/>
      <c r="L5" s="999"/>
      <c r="M5" s="999"/>
      <c r="N5" s="999"/>
      <c r="O5" s="999"/>
      <c r="P5" s="162"/>
      <c r="Q5" s="162"/>
      <c r="R5" s="522"/>
    </row>
    <row r="6" spans="1:18" s="43" customFormat="1" ht="21.75" customHeight="1">
      <c r="A6" s="535"/>
      <c r="B6" s="1070" t="s">
        <v>492</v>
      </c>
      <c r="C6" s="1070"/>
      <c r="D6" s="1070"/>
      <c r="E6" s="1070"/>
      <c r="F6" s="1070"/>
      <c r="G6" s="1070"/>
      <c r="H6" s="1070"/>
      <c r="I6" s="1070"/>
      <c r="J6" s="1070"/>
      <c r="K6" s="1070"/>
      <c r="L6" s="1070"/>
      <c r="M6" s="1070"/>
      <c r="N6" s="1070"/>
      <c r="O6" s="1070"/>
      <c r="P6" s="162"/>
      <c r="Q6" s="162"/>
      <c r="R6" s="522"/>
    </row>
    <row r="7" spans="1:18" s="43" customFormat="1" ht="21.75" customHeight="1">
      <c r="A7" s="182"/>
      <c r="B7" s="470" t="s">
        <v>493</v>
      </c>
      <c r="C7" s="184"/>
      <c r="D7" s="185"/>
      <c r="E7" s="185"/>
      <c r="F7" s="510">
        <v>38</v>
      </c>
      <c r="G7" s="510" t="s">
        <v>1</v>
      </c>
      <c r="H7" s="186">
        <v>2.1</v>
      </c>
      <c r="I7" s="510" t="s">
        <v>1</v>
      </c>
      <c r="J7" s="186">
        <v>2.1</v>
      </c>
      <c r="K7" s="510" t="s">
        <v>1</v>
      </c>
      <c r="L7" s="187">
        <v>2</v>
      </c>
      <c r="M7" s="190" t="s">
        <v>0</v>
      </c>
      <c r="N7" s="199">
        <f>L7*J7*H7*F7</f>
        <v>335.16</v>
      </c>
      <c r="O7" s="192" t="s">
        <v>418</v>
      </c>
      <c r="P7" s="162"/>
      <c r="Q7" s="162"/>
      <c r="R7" s="522"/>
    </row>
    <row r="8" spans="1:18" s="43" customFormat="1" ht="21.75" customHeight="1">
      <c r="A8" s="192"/>
      <c r="B8" s="1028" t="s">
        <v>494</v>
      </c>
      <c r="C8" s="1028"/>
      <c r="D8" s="1028"/>
      <c r="E8" s="1028"/>
      <c r="F8" s="510">
        <v>1</v>
      </c>
      <c r="G8" s="510" t="s">
        <v>1</v>
      </c>
      <c r="H8" s="186">
        <v>257.7</v>
      </c>
      <c r="I8" s="510" t="s">
        <v>1</v>
      </c>
      <c r="J8" s="186">
        <v>0.25</v>
      </c>
      <c r="K8" s="510" t="s">
        <v>1</v>
      </c>
      <c r="L8" s="187">
        <v>1.2</v>
      </c>
      <c r="M8" s="188" t="s">
        <v>0</v>
      </c>
      <c r="N8" s="189">
        <f t="shared" ref="N8" si="0">L8*J8*H8*F8</f>
        <v>77.309999999999988</v>
      </c>
      <c r="O8" s="536" t="s">
        <v>418</v>
      </c>
      <c r="P8" s="164"/>
      <c r="Q8" s="164"/>
      <c r="R8" s="512"/>
    </row>
    <row r="9" spans="1:18" s="43" customFormat="1" ht="15.75" customHeight="1">
      <c r="A9" s="182"/>
      <c r="B9" s="1028"/>
      <c r="C9" s="1028"/>
      <c r="D9" s="1028"/>
      <c r="E9" s="1028"/>
      <c r="F9" s="186"/>
      <c r="G9" s="510"/>
      <c r="H9" s="186"/>
      <c r="I9" s="510"/>
      <c r="J9" s="186"/>
      <c r="K9" s="996" t="s">
        <v>8</v>
      </c>
      <c r="L9" s="996"/>
      <c r="M9" s="190" t="s">
        <v>0</v>
      </c>
      <c r="N9" s="191">
        <f>SUM(N7:N8)</f>
        <v>412.47</v>
      </c>
      <c r="O9" s="192" t="s">
        <v>418</v>
      </c>
      <c r="P9" s="162"/>
      <c r="Q9" s="162"/>
      <c r="R9" s="522"/>
    </row>
    <row r="10" spans="1:18" s="43" customFormat="1" ht="16.5" customHeight="1">
      <c r="A10" s="182"/>
      <c r="B10" s="184"/>
      <c r="C10" s="184"/>
      <c r="D10" s="510"/>
      <c r="E10" s="510"/>
      <c r="F10" s="186"/>
      <c r="G10" s="510"/>
      <c r="H10" s="186"/>
      <c r="I10" s="510"/>
      <c r="J10" s="193" t="s">
        <v>350</v>
      </c>
      <c r="K10" s="502" t="s">
        <v>11</v>
      </c>
      <c r="L10" s="989">
        <v>159</v>
      </c>
      <c r="M10" s="989"/>
      <c r="N10" s="513" t="s">
        <v>419</v>
      </c>
      <c r="O10" s="192"/>
      <c r="P10" s="455" t="s">
        <v>0</v>
      </c>
      <c r="Q10" s="166" t="s">
        <v>11</v>
      </c>
      <c r="R10" s="523">
        <f>ROUND(N9*L10,0)</f>
        <v>65583</v>
      </c>
    </row>
    <row r="11" spans="1:18" s="43" customFormat="1">
      <c r="A11" s="182"/>
      <c r="B11" s="184"/>
      <c r="C11" s="184"/>
      <c r="D11" s="510"/>
      <c r="E11" s="510"/>
      <c r="F11" s="186"/>
      <c r="G11" s="510"/>
      <c r="H11" s="186"/>
      <c r="I11" s="510"/>
      <c r="J11" s="193"/>
      <c r="K11" s="502"/>
      <c r="L11" s="502"/>
      <c r="M11" s="502"/>
      <c r="N11" s="513"/>
      <c r="O11" s="192"/>
      <c r="P11" s="455"/>
      <c r="Q11" s="166"/>
      <c r="R11" s="523"/>
    </row>
    <row r="12" spans="1:18" s="43" customFormat="1" ht="71.25" customHeight="1">
      <c r="A12" s="537" t="s">
        <v>495</v>
      </c>
      <c r="B12" s="999" t="s">
        <v>496</v>
      </c>
      <c r="C12" s="999"/>
      <c r="D12" s="999"/>
      <c r="E12" s="999"/>
      <c r="F12" s="999"/>
      <c r="G12" s="999"/>
      <c r="H12" s="999"/>
      <c r="I12" s="999"/>
      <c r="J12" s="999"/>
      <c r="K12" s="999"/>
      <c r="L12" s="999"/>
      <c r="M12" s="999"/>
      <c r="N12" s="999"/>
      <c r="O12" s="999"/>
      <c r="P12" s="162"/>
      <c r="Q12" s="162"/>
      <c r="R12" s="522"/>
    </row>
    <row r="13" spans="1:18" s="43" customFormat="1" ht="17.25">
      <c r="A13" s="192"/>
      <c r="B13" s="202" t="s">
        <v>493</v>
      </c>
      <c r="C13" s="192"/>
      <c r="D13" s="185"/>
      <c r="E13" s="185"/>
      <c r="F13" s="203"/>
      <c r="G13" s="510"/>
      <c r="H13" s="203">
        <f>F7*1</f>
        <v>38</v>
      </c>
      <c r="I13" s="510" t="s">
        <v>1</v>
      </c>
      <c r="J13" s="186">
        <f>H7*1</f>
        <v>2.1</v>
      </c>
      <c r="K13" s="510" t="s">
        <v>1</v>
      </c>
      <c r="L13" s="186">
        <f>J7*1</f>
        <v>2.1</v>
      </c>
      <c r="M13" s="504" t="s">
        <v>0</v>
      </c>
      <c r="N13" s="199">
        <f>L13*J13*H13</f>
        <v>167.58</v>
      </c>
      <c r="O13" s="185" t="s">
        <v>420</v>
      </c>
      <c r="P13" s="168"/>
      <c r="Q13" s="168"/>
      <c r="R13" s="524"/>
    </row>
    <row r="14" spans="1:18" s="43" customFormat="1" ht="18.75" customHeight="1">
      <c r="A14" s="185"/>
      <c r="B14" s="185"/>
      <c r="C14" s="185"/>
      <c r="D14" s="185"/>
      <c r="E14" s="185"/>
      <c r="F14" s="185"/>
      <c r="G14" s="185"/>
      <c r="H14" s="185"/>
      <c r="I14" s="185"/>
      <c r="J14" s="185"/>
      <c r="K14" s="1012" t="s">
        <v>8</v>
      </c>
      <c r="L14" s="1012"/>
      <c r="M14" s="228" t="s">
        <v>0</v>
      </c>
      <c r="N14" s="235">
        <f>SUM(N13:N13)</f>
        <v>167.58</v>
      </c>
      <c r="O14" s="538" t="s">
        <v>420</v>
      </c>
      <c r="P14" s="157"/>
      <c r="Q14" s="157"/>
      <c r="R14" s="250"/>
    </row>
    <row r="15" spans="1:18" s="43" customFormat="1" ht="17.25" customHeight="1">
      <c r="A15" s="182"/>
      <c r="B15" s="182"/>
      <c r="C15" s="182"/>
      <c r="D15" s="182"/>
      <c r="E15" s="182"/>
      <c r="F15" s="182"/>
      <c r="G15" s="182"/>
      <c r="H15" s="182"/>
      <c r="I15" s="182"/>
      <c r="J15" s="193" t="s">
        <v>350</v>
      </c>
      <c r="K15" s="502" t="s">
        <v>11</v>
      </c>
      <c r="L15" s="989">
        <v>220</v>
      </c>
      <c r="M15" s="989"/>
      <c r="N15" s="513" t="s">
        <v>421</v>
      </c>
      <c r="O15" s="192"/>
      <c r="P15" s="457" t="s">
        <v>0</v>
      </c>
      <c r="Q15" s="170" t="s">
        <v>11</v>
      </c>
      <c r="R15" s="525">
        <f>ROUND(N14*L15,0)</f>
        <v>36868</v>
      </c>
    </row>
    <row r="16" spans="1:18" s="43" customFormat="1">
      <c r="A16" s="182"/>
      <c r="B16" s="184"/>
      <c r="C16" s="184"/>
      <c r="D16" s="510"/>
      <c r="E16" s="510"/>
      <c r="F16" s="186"/>
      <c r="G16" s="510"/>
      <c r="H16" s="186"/>
      <c r="I16" s="510"/>
      <c r="J16" s="193"/>
      <c r="K16" s="502"/>
      <c r="L16" s="502"/>
      <c r="M16" s="502"/>
      <c r="N16" s="513"/>
      <c r="O16" s="192"/>
      <c r="P16" s="455"/>
      <c r="Q16" s="166"/>
      <c r="R16" s="523"/>
    </row>
    <row r="17" spans="1:19" s="43" customFormat="1">
      <c r="A17" s="182"/>
      <c r="B17" s="184"/>
      <c r="C17" s="184"/>
      <c r="D17" s="510"/>
      <c r="E17" s="510"/>
      <c r="F17" s="186"/>
      <c r="G17" s="510"/>
      <c r="H17" s="186"/>
      <c r="I17" s="510"/>
      <c r="J17" s="193"/>
      <c r="K17" s="502"/>
      <c r="L17" s="502"/>
      <c r="M17" s="502"/>
      <c r="N17" s="513"/>
      <c r="O17" s="192"/>
      <c r="P17" s="455"/>
      <c r="Q17" s="166"/>
      <c r="R17" s="523"/>
    </row>
    <row r="18" spans="1:19" s="43" customFormat="1" ht="36" customHeight="1">
      <c r="A18" s="537" t="s">
        <v>497</v>
      </c>
      <c r="B18" s="999" t="s">
        <v>498</v>
      </c>
      <c r="C18" s="999"/>
      <c r="D18" s="999"/>
      <c r="E18" s="999"/>
      <c r="F18" s="999"/>
      <c r="G18" s="999"/>
      <c r="H18" s="999"/>
      <c r="I18" s="999"/>
      <c r="J18" s="999"/>
      <c r="K18" s="999"/>
      <c r="L18" s="999"/>
      <c r="M18" s="999"/>
      <c r="N18" s="999"/>
      <c r="O18" s="999"/>
      <c r="P18" s="162"/>
      <c r="Q18" s="162"/>
      <c r="R18" s="522"/>
    </row>
    <row r="19" spans="1:19" s="43" customFormat="1" ht="22.5" customHeight="1">
      <c r="A19" s="539"/>
      <c r="B19" s="993" t="s">
        <v>499</v>
      </c>
      <c r="C19" s="993"/>
      <c r="D19" s="993"/>
      <c r="E19" s="993"/>
      <c r="F19" s="993"/>
      <c r="G19" s="505"/>
      <c r="H19" s="505"/>
      <c r="I19" s="505"/>
      <c r="J19" s="505"/>
      <c r="K19" s="505"/>
      <c r="L19" s="505"/>
      <c r="M19" s="505"/>
      <c r="N19" s="505"/>
      <c r="O19" s="505"/>
      <c r="P19" s="162"/>
      <c r="Q19" s="162"/>
      <c r="R19" s="522"/>
    </row>
    <row r="20" spans="1:19" s="43" customFormat="1" ht="21" customHeight="1">
      <c r="A20" s="182"/>
      <c r="B20" s="202" t="s">
        <v>493</v>
      </c>
      <c r="C20" s="184"/>
      <c r="D20" s="185"/>
      <c r="E20" s="185"/>
      <c r="F20" s="510">
        <f>F7*1</f>
        <v>38</v>
      </c>
      <c r="G20" s="510" t="s">
        <v>1</v>
      </c>
      <c r="H20" s="186">
        <f>J13</f>
        <v>2.1</v>
      </c>
      <c r="I20" s="510" t="s">
        <v>1</v>
      </c>
      <c r="J20" s="186">
        <f>L13</f>
        <v>2.1</v>
      </c>
      <c r="K20" s="510" t="s">
        <v>1</v>
      </c>
      <c r="L20" s="187">
        <v>0.1</v>
      </c>
      <c r="M20" s="190" t="s">
        <v>0</v>
      </c>
      <c r="N20" s="199">
        <f>L20*J20*H20*F20</f>
        <v>16.758000000000003</v>
      </c>
      <c r="O20" s="192" t="s">
        <v>418</v>
      </c>
      <c r="P20" s="162"/>
      <c r="Q20" s="162"/>
      <c r="R20" s="522"/>
    </row>
    <row r="21" spans="1:19" s="43" customFormat="1" ht="21" customHeight="1">
      <c r="A21" s="182"/>
      <c r="B21" s="1028" t="s">
        <v>494</v>
      </c>
      <c r="C21" s="1028"/>
      <c r="D21" s="1028"/>
      <c r="E21" s="1028"/>
      <c r="F21" s="510">
        <v>1</v>
      </c>
      <c r="G21" s="510" t="s">
        <v>1</v>
      </c>
      <c r="H21" s="186">
        <v>214.3</v>
      </c>
      <c r="I21" s="510" t="s">
        <v>1</v>
      </c>
      <c r="J21" s="186">
        <f>J8*1</f>
        <v>0.25</v>
      </c>
      <c r="K21" s="510" t="s">
        <v>1</v>
      </c>
      <c r="L21" s="186">
        <v>0.1</v>
      </c>
      <c r="M21" s="188" t="s">
        <v>0</v>
      </c>
      <c r="N21" s="189">
        <f>ROUND(F21*H21*J21*L21,2)</f>
        <v>5.36</v>
      </c>
      <c r="O21" s="536" t="s">
        <v>418</v>
      </c>
      <c r="P21" s="162"/>
      <c r="Q21" s="162"/>
      <c r="R21" s="522"/>
    </row>
    <row r="22" spans="1:19" s="43" customFormat="1" ht="16.5" customHeight="1">
      <c r="A22" s="182"/>
      <c r="B22" s="1028"/>
      <c r="C22" s="1028"/>
      <c r="D22" s="1028"/>
      <c r="E22" s="1028"/>
      <c r="F22" s="182"/>
      <c r="G22" s="182"/>
      <c r="H22" s="182"/>
      <c r="I22" s="182"/>
      <c r="J22" s="182"/>
      <c r="K22" s="996" t="s">
        <v>8</v>
      </c>
      <c r="L22" s="996"/>
      <c r="M22" s="190" t="s">
        <v>0</v>
      </c>
      <c r="N22" s="540">
        <f>SUM(N20:N21)</f>
        <v>22.118000000000002</v>
      </c>
      <c r="O22" s="192" t="s">
        <v>418</v>
      </c>
      <c r="P22" s="162"/>
      <c r="Q22" s="162"/>
      <c r="R22" s="522"/>
    </row>
    <row r="23" spans="1:19" s="43" customFormat="1" ht="17.25">
      <c r="A23" s="182"/>
      <c r="B23" s="182"/>
      <c r="C23" s="182"/>
      <c r="D23" s="182"/>
      <c r="E23" s="182"/>
      <c r="F23" s="182"/>
      <c r="G23" s="182"/>
      <c r="H23" s="182"/>
      <c r="I23" s="182"/>
      <c r="J23" s="193" t="s">
        <v>350</v>
      </c>
      <c r="K23" s="502" t="s">
        <v>11</v>
      </c>
      <c r="L23" s="989">
        <v>6354</v>
      </c>
      <c r="M23" s="989"/>
      <c r="N23" s="513" t="s">
        <v>419</v>
      </c>
      <c r="O23" s="192"/>
      <c r="P23" s="455" t="s">
        <v>0</v>
      </c>
      <c r="Q23" s="166" t="s">
        <v>11</v>
      </c>
      <c r="R23" s="523">
        <f>ROUND(N22*L23,0)</f>
        <v>140538</v>
      </c>
    </row>
    <row r="24" spans="1:19" s="43" customFormat="1" ht="13.5" customHeight="1">
      <c r="A24" s="182"/>
      <c r="B24" s="182"/>
      <c r="C24" s="182"/>
      <c r="D24" s="182"/>
      <c r="E24" s="182"/>
      <c r="F24" s="182"/>
      <c r="G24" s="182"/>
      <c r="H24" s="182"/>
      <c r="I24" s="182"/>
      <c r="J24" s="193"/>
      <c r="K24" s="502"/>
      <c r="L24" s="502"/>
      <c r="M24" s="502"/>
      <c r="N24" s="513"/>
      <c r="O24" s="192"/>
      <c r="P24" s="455"/>
      <c r="Q24" s="166"/>
      <c r="R24" s="523"/>
      <c r="S24" s="61"/>
    </row>
    <row r="25" spans="1:19" s="43" customFormat="1" ht="49.5" customHeight="1">
      <c r="A25" s="537" t="s">
        <v>500</v>
      </c>
      <c r="B25" s="999" t="s">
        <v>501</v>
      </c>
      <c r="C25" s="999"/>
      <c r="D25" s="999"/>
      <c r="E25" s="999"/>
      <c r="F25" s="999"/>
      <c r="G25" s="999"/>
      <c r="H25" s="999"/>
      <c r="I25" s="999"/>
      <c r="J25" s="999"/>
      <c r="K25" s="999"/>
      <c r="L25" s="999"/>
      <c r="M25" s="999"/>
      <c r="N25" s="999"/>
      <c r="O25" s="999"/>
      <c r="P25" s="162"/>
      <c r="Q25" s="162"/>
      <c r="R25" s="522"/>
    </row>
    <row r="26" spans="1:19" s="43" customFormat="1" ht="27" customHeight="1">
      <c r="A26" s="539"/>
      <c r="B26" s="997" t="s">
        <v>494</v>
      </c>
      <c r="C26" s="997"/>
      <c r="D26" s="997"/>
      <c r="E26" s="997"/>
      <c r="F26" s="997"/>
      <c r="G26" s="185"/>
      <c r="H26" s="185"/>
      <c r="I26" s="185"/>
      <c r="J26" s="185"/>
      <c r="K26" s="185"/>
      <c r="L26" s="185"/>
      <c r="M26" s="185"/>
      <c r="N26" s="185"/>
      <c r="O26" s="185"/>
      <c r="P26" s="162"/>
      <c r="Q26" s="162"/>
      <c r="R26" s="522"/>
    </row>
    <row r="27" spans="1:19" s="43" customFormat="1" ht="18.75" customHeight="1">
      <c r="A27" s="539"/>
      <c r="B27" s="1009"/>
      <c r="C27" s="1009"/>
      <c r="D27" s="503"/>
      <c r="E27" s="505"/>
      <c r="F27" s="510">
        <v>1</v>
      </c>
      <c r="G27" s="510" t="s">
        <v>1</v>
      </c>
      <c r="H27" s="186">
        <f>H21*1</f>
        <v>214.3</v>
      </c>
      <c r="I27" s="510" t="s">
        <v>1</v>
      </c>
      <c r="J27" s="186">
        <f>J21*1</f>
        <v>0.25</v>
      </c>
      <c r="K27" s="510" t="s">
        <v>1</v>
      </c>
      <c r="L27" s="187">
        <v>0.6</v>
      </c>
      <c r="M27" s="188" t="s">
        <v>0</v>
      </c>
      <c r="N27" s="189">
        <f>L27*J27*H27*F27</f>
        <v>32.145000000000003</v>
      </c>
      <c r="O27" s="536" t="s">
        <v>418</v>
      </c>
      <c r="P27" s="162"/>
      <c r="Q27" s="162"/>
      <c r="R27" s="522"/>
    </row>
    <row r="28" spans="1:19" s="43" customFormat="1" ht="18.75" customHeight="1">
      <c r="A28" s="182"/>
      <c r="B28" s="182"/>
      <c r="C28" s="182"/>
      <c r="D28" s="182"/>
      <c r="E28" s="182"/>
      <c r="F28" s="182"/>
      <c r="G28" s="182"/>
      <c r="H28" s="182"/>
      <c r="I28" s="182"/>
      <c r="J28" s="182"/>
      <c r="K28" s="996" t="s">
        <v>8</v>
      </c>
      <c r="L28" s="996"/>
      <c r="M28" s="190" t="s">
        <v>0</v>
      </c>
      <c r="N28" s="540">
        <f>SUM(N27:N27)</f>
        <v>32.145000000000003</v>
      </c>
      <c r="O28" s="192" t="s">
        <v>418</v>
      </c>
      <c r="P28" s="162"/>
      <c r="Q28" s="162"/>
      <c r="R28" s="522"/>
    </row>
    <row r="29" spans="1:19" s="43" customFormat="1" ht="17.25">
      <c r="A29" s="182"/>
      <c r="B29" s="182"/>
      <c r="C29" s="182"/>
      <c r="D29" s="182"/>
      <c r="E29" s="182"/>
      <c r="F29" s="182"/>
      <c r="G29" s="182"/>
      <c r="H29" s="182"/>
      <c r="I29" s="182"/>
      <c r="J29" s="193" t="s">
        <v>350</v>
      </c>
      <c r="K29" s="502" t="s">
        <v>11</v>
      </c>
      <c r="L29" s="989">
        <v>3822</v>
      </c>
      <c r="M29" s="989"/>
      <c r="N29" s="513" t="s">
        <v>419</v>
      </c>
      <c r="O29" s="192"/>
      <c r="P29" s="455" t="s">
        <v>0</v>
      </c>
      <c r="Q29" s="166" t="s">
        <v>11</v>
      </c>
      <c r="R29" s="523">
        <f>ROUND(N28*L29,0)</f>
        <v>122858</v>
      </c>
    </row>
    <row r="30" spans="1:19" s="43" customFormat="1">
      <c r="A30" s="489"/>
      <c r="B30" s="162"/>
      <c r="C30" s="162"/>
      <c r="D30" s="162"/>
      <c r="E30" s="162"/>
      <c r="F30" s="162"/>
      <c r="G30" s="162"/>
      <c r="H30" s="162"/>
      <c r="I30" s="162"/>
      <c r="J30" s="459"/>
      <c r="K30" s="472"/>
      <c r="L30" s="472"/>
      <c r="M30" s="472"/>
      <c r="N30" s="460"/>
      <c r="O30" s="164"/>
      <c r="P30" s="455"/>
      <c r="Q30" s="166"/>
      <c r="R30" s="523"/>
    </row>
    <row r="31" spans="1:19" s="43" customFormat="1">
      <c r="A31" s="489"/>
      <c r="B31" s="162"/>
      <c r="C31" s="162"/>
      <c r="D31" s="162"/>
      <c r="E31" s="162"/>
      <c r="F31" s="162"/>
      <c r="G31" s="162"/>
      <c r="H31" s="162"/>
      <c r="I31" s="162"/>
      <c r="J31" s="459"/>
      <c r="K31" s="516"/>
      <c r="L31" s="516"/>
      <c r="M31" s="516"/>
      <c r="N31" s="460"/>
      <c r="O31" s="164"/>
      <c r="P31" s="455"/>
      <c r="Q31" s="166"/>
      <c r="R31" s="523"/>
    </row>
    <row r="32" spans="1:19" s="43" customFormat="1">
      <c r="A32" s="489"/>
      <c r="B32" s="162"/>
      <c r="C32" s="162"/>
      <c r="D32" s="162"/>
      <c r="E32" s="162"/>
      <c r="F32" s="162"/>
      <c r="G32" s="162"/>
      <c r="H32" s="162"/>
      <c r="I32" s="162"/>
      <c r="J32" s="459"/>
      <c r="K32" s="516"/>
      <c r="L32" s="516"/>
      <c r="M32" s="516"/>
      <c r="N32" s="460"/>
      <c r="O32" s="164"/>
      <c r="P32" s="455"/>
      <c r="Q32" s="166"/>
      <c r="R32" s="523"/>
    </row>
    <row r="33" spans="1:30" s="43" customFormat="1">
      <c r="A33" s="489"/>
      <c r="B33" s="162"/>
      <c r="C33" s="162"/>
      <c r="D33" s="162"/>
      <c r="E33" s="162"/>
      <c r="F33" s="162"/>
      <c r="G33" s="162"/>
      <c r="H33" s="162"/>
      <c r="I33" s="162"/>
      <c r="J33" s="459"/>
      <c r="K33" s="165"/>
      <c r="L33" s="165"/>
      <c r="M33" s="165"/>
      <c r="N33" s="460"/>
      <c r="O33" s="164"/>
      <c r="P33" s="455"/>
      <c r="Q33" s="166"/>
      <c r="R33" s="523"/>
    </row>
    <row r="34" spans="1:30" s="43" customFormat="1">
      <c r="A34" s="489"/>
      <c r="B34" s="162"/>
      <c r="C34" s="162"/>
      <c r="D34" s="162"/>
      <c r="E34" s="162"/>
      <c r="F34" s="162"/>
      <c r="G34" s="162"/>
      <c r="H34" s="162"/>
      <c r="I34" s="162"/>
      <c r="J34" s="459"/>
      <c r="K34" s="165"/>
      <c r="L34" s="165"/>
      <c r="M34" s="165"/>
      <c r="N34" s="460"/>
      <c r="O34" s="281" t="s">
        <v>24</v>
      </c>
      <c r="P34" s="251" t="s">
        <v>0</v>
      </c>
      <c r="Q34" s="252" t="s">
        <v>11</v>
      </c>
      <c r="R34" s="272">
        <f>SUM(R6:R33)</f>
        <v>365847</v>
      </c>
    </row>
    <row r="35" spans="1:30" s="43" customFormat="1">
      <c r="A35" s="489"/>
      <c r="B35" s="162"/>
      <c r="C35" s="162"/>
      <c r="D35" s="162"/>
      <c r="E35" s="162"/>
      <c r="F35" s="162"/>
      <c r="G35" s="162"/>
      <c r="H35" s="162"/>
      <c r="I35" s="162"/>
      <c r="J35" s="459"/>
      <c r="K35" s="165"/>
      <c r="L35" s="165"/>
      <c r="M35" s="165"/>
      <c r="N35" s="460"/>
      <c r="O35" s="281" t="s">
        <v>25</v>
      </c>
      <c r="P35" s="251" t="s">
        <v>0</v>
      </c>
      <c r="Q35" s="252" t="s">
        <v>11</v>
      </c>
      <c r="R35" s="272">
        <f>R34*1</f>
        <v>365847</v>
      </c>
    </row>
    <row r="36" spans="1:30" ht="51.75" customHeight="1">
      <c r="A36" s="487" t="s">
        <v>432</v>
      </c>
      <c r="B36" s="1032" t="s">
        <v>352</v>
      </c>
      <c r="C36" s="1032"/>
      <c r="D36" s="1032"/>
      <c r="E36" s="1032"/>
      <c r="F36" s="1032"/>
      <c r="G36" s="1032"/>
      <c r="H36" s="1032"/>
      <c r="I36" s="1032"/>
      <c r="J36" s="1032"/>
      <c r="K36" s="1032"/>
      <c r="L36" s="1032"/>
      <c r="M36" s="1032"/>
      <c r="N36" s="1032"/>
      <c r="O36" s="1032"/>
      <c r="P36" s="182"/>
      <c r="Q36" s="182"/>
      <c r="R36" s="526"/>
    </row>
    <row r="37" spans="1:30" ht="15" customHeight="1">
      <c r="A37" s="490"/>
      <c r="B37" s="1069" t="s">
        <v>427</v>
      </c>
      <c r="C37" s="1069"/>
      <c r="D37" s="1069"/>
      <c r="E37" s="1069"/>
      <c r="F37" s="1069"/>
      <c r="G37" s="1069"/>
      <c r="H37" s="1069"/>
      <c r="I37" s="1069"/>
      <c r="J37" s="1069"/>
      <c r="K37" s="302"/>
      <c r="L37" s="302"/>
      <c r="M37" s="302"/>
      <c r="N37" s="302"/>
      <c r="O37" s="347"/>
      <c r="P37" s="182"/>
      <c r="Q37" s="182"/>
      <c r="R37" s="526"/>
    </row>
    <row r="38" spans="1:30" ht="13.5" customHeight="1">
      <c r="A38" s="490"/>
      <c r="B38" s="1033" t="s">
        <v>357</v>
      </c>
      <c r="C38" s="1033"/>
      <c r="D38" s="1033"/>
      <c r="E38" s="1033"/>
      <c r="F38" s="1033"/>
      <c r="G38" s="1033"/>
      <c r="H38" s="1033"/>
      <c r="I38" s="1033"/>
      <c r="J38" s="302"/>
      <c r="K38" s="302"/>
      <c r="L38" s="302"/>
      <c r="M38" s="302"/>
      <c r="N38" s="302"/>
      <c r="O38" s="437"/>
      <c r="P38" s="182"/>
      <c r="Q38" s="182"/>
      <c r="R38" s="526"/>
      <c r="X38" s="173"/>
      <c r="Y38" s="442"/>
      <c r="Z38" s="442"/>
      <c r="AA38" s="442"/>
      <c r="AB38" s="442"/>
      <c r="AC38" s="172"/>
      <c r="AD38" s="442"/>
    </row>
    <row r="39" spans="1:30" ht="14.25" customHeight="1">
      <c r="A39" s="281"/>
      <c r="B39" s="210" t="s">
        <v>504</v>
      </c>
      <c r="C39" s="210"/>
      <c r="D39" s="210"/>
      <c r="E39" s="210"/>
      <c r="F39" s="203"/>
      <c r="G39" s="438"/>
      <c r="H39" s="203"/>
      <c r="I39" s="438"/>
      <c r="J39" s="186"/>
      <c r="K39" s="190"/>
      <c r="L39" s="187"/>
      <c r="M39" s="190"/>
      <c r="N39" s="213"/>
      <c r="O39" s="294"/>
      <c r="P39" s="192"/>
      <c r="Q39" s="192"/>
      <c r="R39" s="527"/>
    </row>
    <row r="40" spans="1:30" ht="18.75" customHeight="1">
      <c r="A40" s="445"/>
      <c r="B40" s="211" t="s">
        <v>416</v>
      </c>
      <c r="C40" s="212"/>
      <c r="D40" s="185"/>
      <c r="E40" s="185"/>
      <c r="F40" s="438"/>
      <c r="G40" s="438"/>
      <c r="H40" s="203">
        <f>F20</f>
        <v>38</v>
      </c>
      <c r="I40" s="438" t="s">
        <v>1</v>
      </c>
      <c r="J40" s="203">
        <v>8</v>
      </c>
      <c r="K40" s="438" t="s">
        <v>1</v>
      </c>
      <c r="L40" s="186">
        <v>1.5</v>
      </c>
      <c r="M40" s="190" t="s">
        <v>0</v>
      </c>
      <c r="N40" s="213">
        <f>L40*J40*H40</f>
        <v>456</v>
      </c>
      <c r="O40" s="294" t="s">
        <v>13</v>
      </c>
      <c r="P40" s="182"/>
      <c r="Q40" s="182"/>
      <c r="R40" s="527"/>
    </row>
    <row r="41" spans="1:30" ht="15" customHeight="1">
      <c r="A41" s="445"/>
      <c r="B41" s="211"/>
      <c r="C41" s="212"/>
      <c r="D41" s="185"/>
      <c r="E41" s="185"/>
      <c r="F41" s="438"/>
      <c r="G41" s="438"/>
      <c r="H41" s="203"/>
      <c r="I41" s="438"/>
      <c r="J41" s="186"/>
      <c r="K41" s="184"/>
      <c r="L41" s="186" t="s">
        <v>8</v>
      </c>
      <c r="M41" s="190" t="s">
        <v>0</v>
      </c>
      <c r="N41" s="214">
        <f>SUM(N40:N40)</f>
        <v>456</v>
      </c>
      <c r="O41" s="280" t="s">
        <v>13</v>
      </c>
      <c r="P41" s="182"/>
      <c r="Q41" s="182"/>
      <c r="R41" s="527"/>
      <c r="X41" s="1034"/>
      <c r="Y41" s="1034"/>
      <c r="Z41" s="442"/>
      <c r="AA41" s="442"/>
      <c r="AB41" s="442"/>
      <c r="AC41" s="172"/>
      <c r="AD41" s="442"/>
    </row>
    <row r="42" spans="1:30" ht="15" customHeight="1">
      <c r="A42" s="281"/>
      <c r="B42" s="192"/>
      <c r="C42" s="192"/>
      <c r="D42" s="192"/>
      <c r="E42" s="185"/>
      <c r="F42" s="193" t="s">
        <v>350</v>
      </c>
      <c r="G42" s="435" t="s">
        <v>11</v>
      </c>
      <c r="H42" s="435">
        <v>1.58</v>
      </c>
      <c r="I42" s="1010" t="s">
        <v>353</v>
      </c>
      <c r="J42" s="1015"/>
      <c r="K42" s="185"/>
      <c r="L42" s="185"/>
      <c r="M42" s="184" t="s">
        <v>0</v>
      </c>
      <c r="N42" s="435">
        <f>H42*N41</f>
        <v>720.48</v>
      </c>
      <c r="O42" s="268" t="s">
        <v>100</v>
      </c>
      <c r="P42" s="185"/>
      <c r="Q42" s="185"/>
      <c r="X42" s="173"/>
      <c r="Y42" s="442"/>
      <c r="Z42" s="442"/>
      <c r="AA42" s="442"/>
      <c r="AB42" s="442"/>
      <c r="AC42" s="172"/>
      <c r="AD42" s="442"/>
    </row>
    <row r="43" spans="1:30" ht="15" customHeight="1">
      <c r="A43" s="281"/>
      <c r="B43" s="192"/>
      <c r="C43" s="192"/>
      <c r="D43" s="192"/>
      <c r="E43" s="185"/>
      <c r="F43" s="193"/>
      <c r="G43" s="502"/>
      <c r="H43" s="502"/>
      <c r="I43" s="511"/>
      <c r="J43" s="513"/>
      <c r="K43" s="185"/>
      <c r="L43" s="185"/>
      <c r="M43" s="184"/>
      <c r="N43" s="502"/>
      <c r="O43" s="268"/>
      <c r="P43" s="185"/>
      <c r="Q43" s="185"/>
      <c r="X43" s="173"/>
      <c r="Y43" s="514"/>
      <c r="Z43" s="514"/>
      <c r="AA43" s="514"/>
      <c r="AB43" s="514"/>
      <c r="AC43" s="172"/>
      <c r="AD43" s="514"/>
    </row>
    <row r="44" spans="1:30">
      <c r="A44" s="445"/>
      <c r="B44" s="1028" t="s">
        <v>417</v>
      </c>
      <c r="C44" s="1028"/>
      <c r="D44" s="1028"/>
      <c r="E44" s="1028"/>
      <c r="F44" s="1028"/>
      <c r="G44" s="1028"/>
      <c r="H44" s="1028"/>
      <c r="I44" s="439"/>
      <c r="J44" s="440"/>
      <c r="K44" s="185"/>
      <c r="L44" s="185"/>
      <c r="M44" s="184"/>
      <c r="N44" s="435"/>
      <c r="O44" s="268"/>
      <c r="P44" s="182"/>
      <c r="Q44" s="182"/>
      <c r="R44" s="527"/>
      <c r="U44" s="168"/>
      <c r="V44" s="168"/>
      <c r="W44" s="168"/>
      <c r="X44" s="173"/>
      <c r="Y44" s="349"/>
      <c r="Z44" s="349"/>
      <c r="AA44" s="349"/>
      <c r="AB44" s="349"/>
      <c r="AC44" s="172"/>
      <c r="AD44" s="349"/>
    </row>
    <row r="45" spans="1:30" ht="28.5" customHeight="1">
      <c r="A45" s="445"/>
      <c r="B45" s="1019" t="s">
        <v>385</v>
      </c>
      <c r="C45" s="1019"/>
      <c r="D45" s="1019"/>
      <c r="E45" s="1019"/>
      <c r="F45" s="1019"/>
      <c r="G45" s="1019"/>
      <c r="H45" s="203"/>
      <c r="I45" s="342"/>
      <c r="J45" s="203"/>
      <c r="K45" s="342"/>
      <c r="L45" s="186"/>
      <c r="M45" s="190"/>
      <c r="N45" s="213"/>
      <c r="O45" s="343"/>
      <c r="P45" s="182"/>
      <c r="Q45" s="182"/>
      <c r="R45" s="527"/>
      <c r="U45" s="168"/>
      <c r="V45" s="168"/>
      <c r="W45" s="168"/>
      <c r="X45" s="173"/>
      <c r="Y45" s="349"/>
      <c r="Z45" s="349"/>
      <c r="AA45" s="349"/>
      <c r="AB45" s="349"/>
      <c r="AC45" s="172"/>
      <c r="AD45" s="349"/>
    </row>
    <row r="46" spans="1:30" ht="18.75" customHeight="1">
      <c r="A46" s="445"/>
      <c r="B46" s="441"/>
      <c r="C46" s="441"/>
      <c r="D46" s="441"/>
      <c r="E46" s="441"/>
      <c r="F46" s="441"/>
      <c r="G46" s="441"/>
      <c r="H46" s="203">
        <f>H40</f>
        <v>38</v>
      </c>
      <c r="I46" s="438" t="s">
        <v>1</v>
      </c>
      <c r="J46" s="203">
        <f>L40/0.1+1</f>
        <v>16</v>
      </c>
      <c r="K46" s="438" t="s">
        <v>1</v>
      </c>
      <c r="L46" s="186">
        <f>1.8</f>
        <v>1.8</v>
      </c>
      <c r="M46" s="190" t="s">
        <v>0</v>
      </c>
      <c r="N46" s="213">
        <f t="shared" ref="N46" si="1">L46*J46*H46</f>
        <v>1094.4000000000001</v>
      </c>
      <c r="O46" s="436" t="s">
        <v>13</v>
      </c>
      <c r="P46" s="182"/>
      <c r="Q46" s="182"/>
      <c r="R46" s="527"/>
      <c r="U46" s="168"/>
      <c r="V46" s="168"/>
      <c r="W46" s="168"/>
      <c r="X46" s="173"/>
      <c r="Y46" s="442"/>
      <c r="Z46" s="442"/>
      <c r="AA46" s="442"/>
      <c r="AB46" s="442"/>
      <c r="AC46" s="172"/>
      <c r="AD46" s="442"/>
    </row>
    <row r="47" spans="1:30">
      <c r="A47" s="445"/>
      <c r="B47" s="211"/>
      <c r="C47" s="212"/>
      <c r="D47" s="185"/>
      <c r="E47" s="185"/>
      <c r="F47" s="342"/>
      <c r="G47" s="342"/>
      <c r="H47" s="203"/>
      <c r="I47" s="342"/>
      <c r="J47" s="186"/>
      <c r="K47" s="184"/>
      <c r="L47" s="186" t="s">
        <v>8</v>
      </c>
      <c r="M47" s="190" t="s">
        <v>0</v>
      </c>
      <c r="N47" s="214">
        <f>SUM(N45:N46)</f>
        <v>1094.4000000000001</v>
      </c>
      <c r="O47" s="280" t="s">
        <v>13</v>
      </c>
      <c r="P47" s="182"/>
      <c r="Q47" s="182"/>
      <c r="R47" s="527"/>
      <c r="U47" s="168"/>
      <c r="V47" s="168"/>
      <c r="W47" s="168"/>
      <c r="X47" s="172"/>
      <c r="Y47" s="349"/>
      <c r="Z47" s="349"/>
      <c r="AA47" s="349"/>
      <c r="AB47" s="174"/>
      <c r="AC47" s="172"/>
      <c r="AD47" s="349"/>
    </row>
    <row r="48" spans="1:30">
      <c r="A48" s="445"/>
      <c r="B48" s="192"/>
      <c r="C48" s="192"/>
      <c r="D48" s="192"/>
      <c r="E48" s="185"/>
      <c r="F48" s="193" t="s">
        <v>350</v>
      </c>
      <c r="G48" s="344" t="s">
        <v>11</v>
      </c>
      <c r="H48" s="344">
        <v>0.39</v>
      </c>
      <c r="I48" s="1010" t="s">
        <v>353</v>
      </c>
      <c r="J48" s="1015"/>
      <c r="K48" s="185"/>
      <c r="L48" s="185"/>
      <c r="M48" s="184" t="s">
        <v>0</v>
      </c>
      <c r="N48" s="344">
        <f>H48*N47</f>
        <v>426.81600000000003</v>
      </c>
      <c r="O48" s="268" t="s">
        <v>100</v>
      </c>
      <c r="P48" s="182"/>
      <c r="Q48" s="182"/>
      <c r="R48" s="527"/>
      <c r="U48" s="168"/>
      <c r="V48" s="168"/>
      <c r="W48" s="168"/>
      <c r="X48" s="1029"/>
      <c r="Y48" s="1029"/>
      <c r="Z48" s="1029"/>
      <c r="AA48" s="1029"/>
      <c r="AB48" s="1029"/>
      <c r="AC48" s="172"/>
      <c r="AD48" s="349"/>
    </row>
    <row r="49" spans="1:30" ht="15" customHeight="1">
      <c r="A49" s="281"/>
      <c r="B49" s="192"/>
      <c r="C49" s="192"/>
      <c r="D49" s="192"/>
      <c r="E49" s="185"/>
      <c r="F49" s="193"/>
      <c r="G49" s="435"/>
      <c r="H49" s="435"/>
      <c r="I49" s="439"/>
      <c r="J49" s="440"/>
      <c r="K49" s="185"/>
      <c r="L49" s="185"/>
      <c r="M49" s="184"/>
      <c r="N49" s="435"/>
      <c r="O49" s="268"/>
      <c r="P49" s="185"/>
      <c r="Q49" s="185"/>
      <c r="X49" s="173"/>
      <c r="Y49" s="442"/>
      <c r="Z49" s="442"/>
      <c r="AA49" s="442"/>
      <c r="AB49" s="442"/>
      <c r="AC49" s="172"/>
      <c r="AD49" s="442"/>
    </row>
    <row r="50" spans="1:30" ht="13.5" customHeight="1">
      <c r="A50" s="490"/>
      <c r="B50" s="1033" t="s">
        <v>357</v>
      </c>
      <c r="C50" s="1033"/>
      <c r="D50" s="1033"/>
      <c r="E50" s="1033"/>
      <c r="F50" s="1033"/>
      <c r="G50" s="1033"/>
      <c r="H50" s="1033"/>
      <c r="I50" s="1033"/>
      <c r="J50" s="302"/>
      <c r="K50" s="302"/>
      <c r="L50" s="302"/>
      <c r="M50" s="302"/>
      <c r="N50" s="302"/>
      <c r="O50" s="437"/>
      <c r="P50" s="182"/>
      <c r="Q50" s="182"/>
      <c r="R50" s="526"/>
      <c r="X50" s="173"/>
      <c r="Y50" s="442"/>
      <c r="Z50" s="442"/>
      <c r="AA50" s="442"/>
      <c r="AB50" s="442"/>
      <c r="AC50" s="172"/>
      <c r="AD50" s="442"/>
    </row>
    <row r="51" spans="1:30" ht="14.25" customHeight="1">
      <c r="A51" s="281"/>
      <c r="B51" s="210" t="s">
        <v>370</v>
      </c>
      <c r="C51" s="210"/>
      <c r="D51" s="210"/>
      <c r="E51" s="210"/>
      <c r="F51" s="203"/>
      <c r="G51" s="438"/>
      <c r="H51" s="203"/>
      <c r="I51" s="438"/>
      <c r="J51" s="186"/>
      <c r="K51" s="190"/>
      <c r="L51" s="187"/>
      <c r="M51" s="190"/>
      <c r="N51" s="213"/>
      <c r="O51" s="294"/>
      <c r="P51" s="192"/>
      <c r="Q51" s="192"/>
      <c r="R51" s="527"/>
    </row>
    <row r="52" spans="1:30" ht="18.75" customHeight="1">
      <c r="A52" s="445"/>
      <c r="B52" s="211" t="s">
        <v>416</v>
      </c>
      <c r="C52" s="212"/>
      <c r="D52" s="185"/>
      <c r="E52" s="185"/>
      <c r="F52" s="438"/>
      <c r="G52" s="438"/>
      <c r="H52" s="203">
        <f>H40</f>
        <v>38</v>
      </c>
      <c r="I52" s="438" t="s">
        <v>1</v>
      </c>
      <c r="J52" s="203">
        <f>J40</f>
        <v>8</v>
      </c>
      <c r="K52" s="438" t="s">
        <v>1</v>
      </c>
      <c r="L52" s="186">
        <f>3.5</f>
        <v>3.5</v>
      </c>
      <c r="M52" s="190" t="s">
        <v>0</v>
      </c>
      <c r="N52" s="213">
        <f>L52*J52*H52</f>
        <v>1064</v>
      </c>
      <c r="O52" s="294" t="s">
        <v>13</v>
      </c>
      <c r="P52" s="182"/>
      <c r="Q52" s="182"/>
      <c r="R52" s="527"/>
    </row>
    <row r="53" spans="1:30" ht="15" customHeight="1">
      <c r="A53" s="445"/>
      <c r="B53" s="211"/>
      <c r="C53" s="212"/>
      <c r="D53" s="185"/>
      <c r="E53" s="185"/>
      <c r="F53" s="438"/>
      <c r="G53" s="438"/>
      <c r="H53" s="203"/>
      <c r="I53" s="438"/>
      <c r="J53" s="186"/>
      <c r="K53" s="184"/>
      <c r="L53" s="186" t="s">
        <v>8</v>
      </c>
      <c r="M53" s="190" t="s">
        <v>0</v>
      </c>
      <c r="N53" s="214">
        <f>SUM(N52:N52)</f>
        <v>1064</v>
      </c>
      <c r="O53" s="280" t="s">
        <v>13</v>
      </c>
      <c r="P53" s="182"/>
      <c r="Q53" s="182"/>
      <c r="R53" s="527"/>
      <c r="X53" s="1034"/>
      <c r="Y53" s="1034"/>
      <c r="Z53" s="442"/>
      <c r="AA53" s="442"/>
      <c r="AB53" s="442"/>
      <c r="AC53" s="172"/>
      <c r="AD53" s="442"/>
    </row>
    <row r="54" spans="1:30" ht="15" customHeight="1">
      <c r="A54" s="281"/>
      <c r="B54" s="192"/>
      <c r="C54" s="192"/>
      <c r="D54" s="192"/>
      <c r="E54" s="185"/>
      <c r="F54" s="193" t="s">
        <v>350</v>
      </c>
      <c r="G54" s="435" t="s">
        <v>11</v>
      </c>
      <c r="H54" s="435">
        <v>1.58</v>
      </c>
      <c r="I54" s="1010" t="s">
        <v>353</v>
      </c>
      <c r="J54" s="1015"/>
      <c r="K54" s="185"/>
      <c r="L54" s="185"/>
      <c r="M54" s="184" t="s">
        <v>0</v>
      </c>
      <c r="N54" s="435">
        <f>H54*N53</f>
        <v>1681.1200000000001</v>
      </c>
      <c r="O54" s="268" t="s">
        <v>100</v>
      </c>
      <c r="P54" s="185"/>
      <c r="Q54" s="185"/>
      <c r="X54" s="173"/>
      <c r="Y54" s="442"/>
      <c r="Z54" s="442"/>
      <c r="AA54" s="442"/>
      <c r="AB54" s="442"/>
      <c r="AC54" s="172"/>
      <c r="AD54" s="442"/>
    </row>
    <row r="55" spans="1:30" ht="13.5" customHeight="1">
      <c r="A55" s="490"/>
      <c r="B55" s="1033" t="s">
        <v>508</v>
      </c>
      <c r="C55" s="1033"/>
      <c r="D55" s="1033"/>
      <c r="E55" s="1033"/>
      <c r="F55" s="1033"/>
      <c r="G55" s="1033"/>
      <c r="H55" s="1033"/>
      <c r="I55" s="1033"/>
      <c r="J55" s="302"/>
      <c r="K55" s="302"/>
      <c r="L55" s="302"/>
      <c r="M55" s="302"/>
      <c r="N55" s="302"/>
      <c r="O55" s="437"/>
      <c r="P55" s="182"/>
      <c r="Q55" s="182"/>
      <c r="R55" s="526"/>
      <c r="X55" s="173"/>
      <c r="Y55" s="442"/>
      <c r="Z55" s="442"/>
      <c r="AA55" s="442"/>
      <c r="AB55" s="442"/>
      <c r="AC55" s="172"/>
      <c r="AD55" s="442"/>
    </row>
    <row r="56" spans="1:30" ht="14.25" customHeight="1">
      <c r="A56" s="281"/>
      <c r="B56" s="210" t="s">
        <v>370</v>
      </c>
      <c r="C56" s="210"/>
      <c r="D56" s="210"/>
      <c r="E56" s="210"/>
      <c r="F56" s="203"/>
      <c r="G56" s="438"/>
      <c r="H56" s="203"/>
      <c r="I56" s="438"/>
      <c r="J56" s="186"/>
      <c r="K56" s="190"/>
      <c r="L56" s="187"/>
      <c r="M56" s="190"/>
      <c r="N56" s="213"/>
      <c r="O56" s="294"/>
      <c r="P56" s="192"/>
      <c r="Q56" s="192"/>
      <c r="R56" s="527"/>
    </row>
    <row r="57" spans="1:30" ht="18.75" customHeight="1">
      <c r="A57" s="445"/>
      <c r="B57" s="211" t="s">
        <v>416</v>
      </c>
      <c r="C57" s="212"/>
      <c r="D57" s="185"/>
      <c r="E57" s="185"/>
      <c r="F57" s="438"/>
      <c r="G57" s="438"/>
      <c r="H57" s="203">
        <f>H52</f>
        <v>38</v>
      </c>
      <c r="I57" s="438" t="s">
        <v>1</v>
      </c>
      <c r="J57" s="203">
        <f>J52</f>
        <v>8</v>
      </c>
      <c r="K57" s="438" t="s">
        <v>1</v>
      </c>
      <c r="L57" s="186">
        <f>L52</f>
        <v>3.5</v>
      </c>
      <c r="M57" s="190" t="s">
        <v>0</v>
      </c>
      <c r="N57" s="213">
        <f>L57*J57*H57</f>
        <v>1064</v>
      </c>
      <c r="O57" s="294" t="s">
        <v>13</v>
      </c>
      <c r="P57" s="182"/>
      <c r="Q57" s="182"/>
      <c r="R57" s="527"/>
    </row>
    <row r="58" spans="1:30" ht="15" customHeight="1">
      <c r="A58" s="445"/>
      <c r="B58" s="211"/>
      <c r="C58" s="212"/>
      <c r="D58" s="185"/>
      <c r="E58" s="185"/>
      <c r="F58" s="438"/>
      <c r="G58" s="438"/>
      <c r="H58" s="203"/>
      <c r="I58" s="438"/>
      <c r="J58" s="186"/>
      <c r="K58" s="184"/>
      <c r="L58" s="186" t="s">
        <v>8</v>
      </c>
      <c r="M58" s="190" t="s">
        <v>0</v>
      </c>
      <c r="N58" s="214">
        <f>SUM(N57:N57)</f>
        <v>1064</v>
      </c>
      <c r="O58" s="280" t="s">
        <v>13</v>
      </c>
      <c r="P58" s="182"/>
      <c r="Q58" s="182"/>
      <c r="R58" s="527"/>
      <c r="X58" s="1034"/>
      <c r="Y58" s="1034"/>
      <c r="Z58" s="442"/>
      <c r="AA58" s="442"/>
      <c r="AB58" s="442"/>
      <c r="AC58" s="172"/>
      <c r="AD58" s="442"/>
    </row>
    <row r="59" spans="1:30" ht="15" customHeight="1">
      <c r="A59" s="281"/>
      <c r="B59" s="192"/>
      <c r="C59" s="192"/>
      <c r="D59" s="192"/>
      <c r="E59" s="185"/>
      <c r="F59" s="193" t="s">
        <v>350</v>
      </c>
      <c r="G59" s="435" t="s">
        <v>11</v>
      </c>
      <c r="H59" s="435">
        <v>0.88</v>
      </c>
      <c r="I59" s="1010" t="s">
        <v>353</v>
      </c>
      <c r="J59" s="1015"/>
      <c r="K59" s="185"/>
      <c r="L59" s="185"/>
      <c r="M59" s="184" t="s">
        <v>0</v>
      </c>
      <c r="N59" s="435">
        <f>H59*N58</f>
        <v>936.32</v>
      </c>
      <c r="O59" s="268" t="s">
        <v>100</v>
      </c>
      <c r="P59" s="185"/>
      <c r="Q59" s="185"/>
      <c r="X59" s="173"/>
      <c r="Y59" s="442"/>
      <c r="Z59" s="442"/>
      <c r="AA59" s="442"/>
      <c r="AB59" s="442"/>
      <c r="AC59" s="172"/>
      <c r="AD59" s="442"/>
    </row>
    <row r="60" spans="1:30">
      <c r="A60" s="445"/>
      <c r="B60" s="1028" t="s">
        <v>417</v>
      </c>
      <c r="C60" s="1028"/>
      <c r="D60" s="1028"/>
      <c r="E60" s="1028"/>
      <c r="F60" s="1028"/>
      <c r="G60" s="1028"/>
      <c r="H60" s="1028"/>
      <c r="I60" s="439"/>
      <c r="J60" s="440"/>
      <c r="K60" s="185"/>
      <c r="L60" s="185"/>
      <c r="M60" s="184"/>
      <c r="N60" s="435"/>
      <c r="O60" s="268"/>
      <c r="P60" s="182"/>
      <c r="Q60" s="182"/>
      <c r="R60" s="527"/>
      <c r="U60" s="168"/>
      <c r="V60" s="168"/>
      <c r="W60" s="168"/>
      <c r="X60" s="173"/>
      <c r="Y60" s="442"/>
      <c r="Z60" s="442"/>
      <c r="AA60" s="442"/>
      <c r="AB60" s="442"/>
      <c r="AC60" s="172"/>
      <c r="AD60" s="442"/>
    </row>
    <row r="61" spans="1:30" ht="36" customHeight="1">
      <c r="A61" s="445"/>
      <c r="B61" s="1019" t="s">
        <v>385</v>
      </c>
      <c r="C61" s="1019"/>
      <c r="D61" s="1019"/>
      <c r="E61" s="1019"/>
      <c r="F61" s="1019"/>
      <c r="G61" s="1019"/>
      <c r="H61" s="203"/>
      <c r="I61" s="438"/>
      <c r="J61" s="203"/>
      <c r="K61" s="438"/>
      <c r="L61" s="186"/>
      <c r="M61" s="190"/>
      <c r="N61" s="213"/>
      <c r="O61" s="436"/>
      <c r="P61" s="182"/>
      <c r="Q61" s="182"/>
      <c r="R61" s="527"/>
      <c r="U61" s="168"/>
      <c r="V61" s="168"/>
      <c r="W61" s="168"/>
      <c r="X61" s="173"/>
      <c r="Y61" s="442"/>
      <c r="Z61" s="442"/>
      <c r="AA61" s="442"/>
      <c r="AB61" s="442"/>
      <c r="AC61" s="172"/>
      <c r="AD61" s="442"/>
    </row>
    <row r="62" spans="1:30" ht="18.75" customHeight="1">
      <c r="A62" s="445"/>
      <c r="B62" s="441"/>
      <c r="C62" s="441"/>
      <c r="D62" s="441"/>
      <c r="E62" s="441"/>
      <c r="F62" s="441"/>
      <c r="G62" s="441"/>
      <c r="H62" s="203">
        <f>H57</f>
        <v>38</v>
      </c>
      <c r="I62" s="438" t="s">
        <v>1</v>
      </c>
      <c r="J62" s="203">
        <f>L57/0.1+1</f>
        <v>36</v>
      </c>
      <c r="K62" s="438" t="s">
        <v>1</v>
      </c>
      <c r="L62" s="186">
        <f>L46</f>
        <v>1.8</v>
      </c>
      <c r="M62" s="190" t="s">
        <v>0</v>
      </c>
      <c r="N62" s="213">
        <f t="shared" ref="N62" si="2">L62*J62*H62</f>
        <v>2462.4</v>
      </c>
      <c r="O62" s="436" t="s">
        <v>13</v>
      </c>
      <c r="P62" s="182"/>
      <c r="Q62" s="182"/>
      <c r="R62" s="527"/>
      <c r="U62" s="168"/>
      <c r="V62" s="168"/>
      <c r="W62" s="168"/>
      <c r="X62" s="173"/>
      <c r="Y62" s="442"/>
      <c r="Z62" s="442"/>
      <c r="AA62" s="442"/>
      <c r="AB62" s="442"/>
      <c r="AC62" s="172"/>
      <c r="AD62" s="442"/>
    </row>
    <row r="63" spans="1:30">
      <c r="A63" s="445"/>
      <c r="B63" s="211"/>
      <c r="C63" s="212"/>
      <c r="D63" s="185"/>
      <c r="E63" s="185"/>
      <c r="F63" s="438"/>
      <c r="G63" s="438"/>
      <c r="H63" s="203"/>
      <c r="I63" s="438"/>
      <c r="J63" s="186"/>
      <c r="K63" s="184"/>
      <c r="L63" s="186" t="s">
        <v>8</v>
      </c>
      <c r="M63" s="190" t="s">
        <v>0</v>
      </c>
      <c r="N63" s="214">
        <f>SUM(N61:N62)</f>
        <v>2462.4</v>
      </c>
      <c r="O63" s="280" t="s">
        <v>13</v>
      </c>
      <c r="P63" s="182"/>
      <c r="Q63" s="182"/>
      <c r="R63" s="527"/>
      <c r="U63" s="168"/>
      <c r="V63" s="168"/>
      <c r="W63" s="168"/>
      <c r="X63" s="172"/>
      <c r="Y63" s="442"/>
      <c r="Z63" s="442"/>
      <c r="AA63" s="442"/>
      <c r="AB63" s="174"/>
      <c r="AC63" s="172"/>
      <c r="AD63" s="442"/>
    </row>
    <row r="64" spans="1:30">
      <c r="A64" s="445"/>
      <c r="B64" s="192"/>
      <c r="C64" s="192"/>
      <c r="D64" s="192"/>
      <c r="E64" s="185"/>
      <c r="F64" s="193" t="s">
        <v>350</v>
      </c>
      <c r="G64" s="435" t="s">
        <v>11</v>
      </c>
      <c r="H64" s="435">
        <v>0.39</v>
      </c>
      <c r="I64" s="1010" t="s">
        <v>353</v>
      </c>
      <c r="J64" s="1015"/>
      <c r="K64" s="185"/>
      <c r="L64" s="185"/>
      <c r="M64" s="184" t="s">
        <v>0</v>
      </c>
      <c r="N64" s="435">
        <f>H64*N63</f>
        <v>960.33600000000001</v>
      </c>
      <c r="O64" s="268" t="s">
        <v>100</v>
      </c>
      <c r="P64" s="182"/>
      <c r="Q64" s="182"/>
      <c r="R64" s="527"/>
      <c r="U64" s="168"/>
      <c r="V64" s="168"/>
      <c r="W64" s="168"/>
      <c r="X64" s="1029"/>
      <c r="Y64" s="1029"/>
      <c r="Z64" s="1029"/>
      <c r="AA64" s="1029"/>
      <c r="AB64" s="1029"/>
      <c r="AC64" s="172"/>
      <c r="AD64" s="442"/>
    </row>
    <row r="65" spans="1:30">
      <c r="A65" s="445"/>
      <c r="B65" s="192"/>
      <c r="C65" s="192"/>
      <c r="D65" s="192"/>
      <c r="E65" s="185"/>
      <c r="F65" s="193"/>
      <c r="G65" s="449"/>
      <c r="H65" s="449"/>
      <c r="I65" s="446"/>
      <c r="J65" s="447"/>
      <c r="K65" s="185"/>
      <c r="L65" s="185"/>
      <c r="M65" s="184"/>
      <c r="N65" s="449"/>
      <c r="O65" s="268"/>
      <c r="P65" s="182"/>
      <c r="Q65" s="182"/>
      <c r="R65" s="527"/>
      <c r="U65" s="168"/>
      <c r="V65" s="168"/>
      <c r="W65" s="168"/>
      <c r="X65" s="444"/>
      <c r="Y65" s="444"/>
      <c r="Z65" s="444"/>
      <c r="AA65" s="444"/>
      <c r="AB65" s="444"/>
      <c r="AC65" s="172"/>
      <c r="AD65" s="444"/>
    </row>
    <row r="66" spans="1:30">
      <c r="A66" s="445"/>
      <c r="B66" s="192"/>
      <c r="C66" s="192"/>
      <c r="D66" s="192"/>
      <c r="E66" s="185"/>
      <c r="F66" s="193"/>
      <c r="G66" s="435"/>
      <c r="H66" s="435"/>
      <c r="I66" s="439"/>
      <c r="J66" s="440"/>
      <c r="K66" s="185"/>
      <c r="L66" s="185"/>
      <c r="M66" s="184"/>
      <c r="N66" s="435"/>
      <c r="O66" s="268"/>
      <c r="P66" s="182"/>
      <c r="Q66" s="182"/>
      <c r="R66" s="527"/>
      <c r="U66" s="168"/>
      <c r="V66" s="168"/>
      <c r="W66" s="168"/>
      <c r="X66" s="442"/>
      <c r="Y66" s="442"/>
      <c r="Z66" s="442"/>
      <c r="AA66" s="442"/>
      <c r="AB66" s="442"/>
      <c r="AC66" s="172"/>
      <c r="AD66" s="442"/>
    </row>
    <row r="67" spans="1:30" s="43" customFormat="1" ht="19.5" customHeight="1">
      <c r="A67" s="491"/>
      <c r="B67" s="470" t="s">
        <v>503</v>
      </c>
      <c r="C67" s="439"/>
      <c r="D67" s="439"/>
      <c r="E67" s="439"/>
      <c r="F67" s="438"/>
      <c r="G67" s="438"/>
      <c r="H67" s="203"/>
      <c r="I67" s="438"/>
      <c r="J67" s="203"/>
      <c r="K67" s="438"/>
      <c r="L67" s="186"/>
      <c r="M67" s="190"/>
      <c r="N67" s="213"/>
      <c r="O67" s="192"/>
      <c r="P67" s="454"/>
      <c r="Q67" s="454"/>
      <c r="R67" s="529"/>
      <c r="X67" s="463"/>
      <c r="Y67" s="464"/>
      <c r="Z67" s="464"/>
      <c r="AA67" s="464"/>
      <c r="AB67" s="464"/>
      <c r="AC67" s="465"/>
      <c r="AD67" s="466"/>
    </row>
    <row r="68" spans="1:30" s="43" customFormat="1" ht="15.75">
      <c r="A68" s="491"/>
      <c r="B68" s="1008" t="s">
        <v>506</v>
      </c>
      <c r="C68" s="1008"/>
      <c r="D68" s="1008"/>
      <c r="E68" s="1008"/>
      <c r="F68" s="1008"/>
      <c r="G68" s="438"/>
      <c r="H68" s="203">
        <f>H62</f>
        <v>38</v>
      </c>
      <c r="I68" s="438" t="s">
        <v>1</v>
      </c>
      <c r="J68" s="203">
        <f>L68/0.1+1</f>
        <v>22</v>
      </c>
      <c r="K68" s="438" t="s">
        <v>1</v>
      </c>
      <c r="L68" s="186">
        <f>J7</f>
        <v>2.1</v>
      </c>
      <c r="M68" s="190" t="s">
        <v>0</v>
      </c>
      <c r="N68" s="213">
        <f t="shared" ref="N68:N69" si="3">L68*J68*H68</f>
        <v>1755.6000000000001</v>
      </c>
      <c r="O68" s="192" t="s">
        <v>13</v>
      </c>
      <c r="P68" s="454"/>
      <c r="Q68" s="454"/>
      <c r="R68" s="529"/>
      <c r="X68" s="467"/>
      <c r="Y68" s="464"/>
      <c r="Z68" s="464"/>
      <c r="AA68" s="464"/>
      <c r="AB68" s="464"/>
      <c r="AC68" s="468"/>
      <c r="AD68" s="466"/>
    </row>
    <row r="69" spans="1:30" s="43" customFormat="1" ht="15.75">
      <c r="A69" s="491"/>
      <c r="B69" s="1008"/>
      <c r="C69" s="1008"/>
      <c r="D69" s="1008"/>
      <c r="E69" s="1008"/>
      <c r="F69" s="1008"/>
      <c r="G69" s="438"/>
      <c r="H69" s="203">
        <f>H68*1</f>
        <v>38</v>
      </c>
      <c r="I69" s="438" t="s">
        <v>1</v>
      </c>
      <c r="J69" s="203">
        <f>J68*1</f>
        <v>22</v>
      </c>
      <c r="K69" s="438" t="s">
        <v>1</v>
      </c>
      <c r="L69" s="186">
        <f>L68</f>
        <v>2.1</v>
      </c>
      <c r="M69" s="190" t="s">
        <v>0</v>
      </c>
      <c r="N69" s="213">
        <f t="shared" si="3"/>
        <v>1755.6000000000001</v>
      </c>
      <c r="O69" s="192" t="s">
        <v>13</v>
      </c>
      <c r="P69" s="454"/>
      <c r="Q69" s="454"/>
      <c r="R69" s="529"/>
      <c r="X69" s="469"/>
      <c r="Y69" s="466"/>
      <c r="Z69" s="466"/>
      <c r="AA69" s="466"/>
      <c r="AB69" s="466"/>
      <c r="AC69" s="468"/>
      <c r="AD69" s="466"/>
    </row>
    <row r="70" spans="1:30" s="43" customFormat="1" ht="15.75">
      <c r="A70" s="491"/>
      <c r="B70" s="439"/>
      <c r="C70" s="439"/>
      <c r="D70" s="439"/>
      <c r="E70" s="439"/>
      <c r="F70" s="438"/>
      <c r="G70" s="438"/>
      <c r="H70" s="203"/>
      <c r="I70" s="438"/>
      <c r="J70" s="203"/>
      <c r="K70" s="438"/>
      <c r="L70" s="186" t="s">
        <v>8</v>
      </c>
      <c r="M70" s="190" t="s">
        <v>0</v>
      </c>
      <c r="N70" s="214">
        <f>SUM(N68:N69)</f>
        <v>3511.2000000000003</v>
      </c>
      <c r="O70" s="215" t="s">
        <v>13</v>
      </c>
      <c r="P70" s="454"/>
      <c r="Q70" s="454"/>
      <c r="R70" s="529"/>
      <c r="X70" s="467"/>
      <c r="Y70" s="464"/>
      <c r="Z70" s="464"/>
      <c r="AA70" s="464"/>
      <c r="AB70" s="464"/>
      <c r="AC70" s="468"/>
      <c r="AD70" s="466"/>
    </row>
    <row r="71" spans="1:30" s="43" customFormat="1" ht="15.75">
      <c r="A71" s="491"/>
      <c r="B71" s="439"/>
      <c r="C71" s="439"/>
      <c r="D71" s="439"/>
      <c r="E71" s="439"/>
      <c r="F71" s="193" t="s">
        <v>350</v>
      </c>
      <c r="G71" s="435" t="s">
        <v>11</v>
      </c>
      <c r="H71" s="435">
        <v>0.89</v>
      </c>
      <c r="I71" s="1010" t="s">
        <v>353</v>
      </c>
      <c r="J71" s="1015"/>
      <c r="K71" s="185"/>
      <c r="L71" s="185"/>
      <c r="M71" s="184" t="s">
        <v>0</v>
      </c>
      <c r="N71" s="435">
        <f>H71*N70</f>
        <v>3124.9680000000003</v>
      </c>
      <c r="O71" s="471" t="s">
        <v>100</v>
      </c>
      <c r="P71" s="454"/>
      <c r="Q71" s="454"/>
      <c r="R71" s="529"/>
      <c r="X71" s="469"/>
      <c r="Y71" s="464"/>
      <c r="Z71" s="464"/>
      <c r="AA71" s="464"/>
      <c r="AB71" s="464"/>
      <c r="AC71" s="468"/>
      <c r="AD71" s="466"/>
    </row>
    <row r="72" spans="1:30" s="43" customFormat="1" ht="15.75">
      <c r="A72" s="491"/>
      <c r="B72" s="511"/>
      <c r="C72" s="511"/>
      <c r="D72" s="511"/>
      <c r="E72" s="511"/>
      <c r="F72" s="193"/>
      <c r="G72" s="502"/>
      <c r="H72" s="502"/>
      <c r="I72" s="511"/>
      <c r="J72" s="513"/>
      <c r="K72" s="185"/>
      <c r="L72" s="185"/>
      <c r="M72" s="184"/>
      <c r="N72" s="502"/>
      <c r="O72" s="471"/>
      <c r="P72" s="454"/>
      <c r="Q72" s="454"/>
      <c r="R72" s="529"/>
      <c r="X72" s="469"/>
      <c r="Y72" s="464"/>
      <c r="Z72" s="464"/>
      <c r="AA72" s="464"/>
      <c r="AB72" s="464"/>
      <c r="AC72" s="468"/>
      <c r="AD72" s="466"/>
    </row>
    <row r="73" spans="1:30" s="43" customFormat="1" ht="15.75">
      <c r="A73" s="491"/>
      <c r="B73" s="511"/>
      <c r="C73" s="511"/>
      <c r="D73" s="511"/>
      <c r="E73" s="511"/>
      <c r="F73" s="193"/>
      <c r="G73" s="502"/>
      <c r="H73" s="502"/>
      <c r="I73" s="511"/>
      <c r="J73" s="513"/>
      <c r="K73" s="185"/>
      <c r="L73" s="185"/>
      <c r="M73" s="184"/>
      <c r="N73" s="502"/>
      <c r="O73" s="471"/>
      <c r="P73" s="454"/>
      <c r="Q73" s="454"/>
      <c r="R73" s="529"/>
      <c r="X73" s="469"/>
      <c r="Y73" s="464"/>
      <c r="Z73" s="464"/>
      <c r="AA73" s="464"/>
      <c r="AB73" s="464"/>
      <c r="AC73" s="468"/>
      <c r="AD73" s="466"/>
    </row>
    <row r="74" spans="1:30" s="43" customFormat="1" ht="15.75">
      <c r="A74" s="491"/>
      <c r="B74" s="511"/>
      <c r="C74" s="511"/>
      <c r="D74" s="511"/>
      <c r="E74" s="511"/>
      <c r="F74" s="193"/>
      <c r="G74" s="502"/>
      <c r="H74" s="502"/>
      <c r="I74" s="511"/>
      <c r="J74" s="513"/>
      <c r="K74" s="185"/>
      <c r="L74" s="185"/>
      <c r="M74" s="184"/>
      <c r="N74" s="502"/>
      <c r="O74" s="471"/>
      <c r="P74" s="454"/>
      <c r="Q74" s="454"/>
      <c r="R74" s="529"/>
      <c r="X74" s="469"/>
      <c r="Y74" s="464"/>
      <c r="Z74" s="464"/>
      <c r="AA74" s="464"/>
      <c r="AB74" s="464"/>
      <c r="AC74" s="468"/>
      <c r="AD74" s="466"/>
    </row>
    <row r="75" spans="1:30" s="43" customFormat="1" ht="15.75">
      <c r="A75" s="491"/>
      <c r="B75" s="511"/>
      <c r="C75" s="511"/>
      <c r="D75" s="511"/>
      <c r="E75" s="511"/>
      <c r="F75" s="193"/>
      <c r="G75" s="502"/>
      <c r="H75" s="502"/>
      <c r="I75" s="511"/>
      <c r="J75" s="513"/>
      <c r="K75" s="185"/>
      <c r="L75" s="185"/>
      <c r="M75" s="184"/>
      <c r="N75" s="502"/>
      <c r="O75" s="471"/>
      <c r="P75" s="454"/>
      <c r="Q75" s="454"/>
      <c r="R75" s="529"/>
      <c r="X75" s="469"/>
      <c r="Y75" s="464"/>
      <c r="Z75" s="464"/>
      <c r="AA75" s="464"/>
      <c r="AB75" s="464"/>
      <c r="AC75" s="468"/>
      <c r="AD75" s="466"/>
    </row>
    <row r="76" spans="1:30" s="43" customFormat="1" ht="15.75">
      <c r="A76" s="491"/>
      <c r="B76" s="511"/>
      <c r="C76" s="511"/>
      <c r="D76" s="511"/>
      <c r="E76" s="511"/>
      <c r="F76" s="193"/>
      <c r="G76" s="502"/>
      <c r="H76" s="502"/>
      <c r="I76" s="511"/>
      <c r="J76" s="513"/>
      <c r="K76" s="185"/>
      <c r="L76" s="185"/>
      <c r="M76" s="184"/>
      <c r="N76" s="502"/>
      <c r="O76" s="471"/>
      <c r="P76" s="454"/>
      <c r="Q76" s="454"/>
      <c r="R76" s="529"/>
      <c r="X76" s="469"/>
      <c r="Y76" s="464"/>
      <c r="Z76" s="464"/>
      <c r="AA76" s="464"/>
      <c r="AB76" s="464"/>
      <c r="AC76" s="468"/>
      <c r="AD76" s="466"/>
    </row>
    <row r="77" spans="1:30" s="43" customFormat="1" ht="15.75">
      <c r="A77" s="491"/>
      <c r="B77" s="511"/>
      <c r="C77" s="511"/>
      <c r="D77" s="511"/>
      <c r="E77" s="511"/>
      <c r="F77" s="193"/>
      <c r="G77" s="502"/>
      <c r="H77" s="502"/>
      <c r="I77" s="511"/>
      <c r="J77" s="513"/>
      <c r="K77" s="185"/>
      <c r="L77" s="185"/>
      <c r="M77" s="184"/>
      <c r="N77" s="502"/>
      <c r="O77" s="471"/>
      <c r="P77" s="454"/>
      <c r="Q77" s="454"/>
      <c r="R77" s="529"/>
      <c r="X77" s="469"/>
      <c r="Y77" s="464"/>
      <c r="Z77" s="464"/>
      <c r="AA77" s="464"/>
      <c r="AB77" s="464"/>
      <c r="AC77" s="468"/>
      <c r="AD77" s="466"/>
    </row>
    <row r="78" spans="1:30" s="43" customFormat="1" ht="15.75">
      <c r="A78" s="491"/>
      <c r="B78" s="446"/>
      <c r="C78" s="446"/>
      <c r="D78" s="446"/>
      <c r="E78" s="446"/>
      <c r="F78" s="193"/>
      <c r="G78" s="449"/>
      <c r="H78" s="449"/>
      <c r="I78" s="446"/>
      <c r="J78" s="447"/>
      <c r="K78" s="185"/>
      <c r="L78" s="185"/>
      <c r="M78" s="184"/>
      <c r="N78" s="449"/>
      <c r="O78" s="471"/>
      <c r="P78" s="454"/>
      <c r="Q78" s="454"/>
      <c r="R78" s="529"/>
      <c r="X78" s="469"/>
      <c r="Y78" s="464"/>
      <c r="Z78" s="464"/>
      <c r="AA78" s="464"/>
      <c r="AB78" s="464"/>
      <c r="AC78" s="468"/>
      <c r="AD78" s="466"/>
    </row>
    <row r="79" spans="1:30" s="43" customFormat="1" ht="15.75">
      <c r="A79" s="491"/>
      <c r="B79" s="446"/>
      <c r="C79" s="446"/>
      <c r="D79" s="446"/>
      <c r="E79" s="446"/>
      <c r="F79" s="193"/>
      <c r="G79" s="449"/>
      <c r="H79" s="449"/>
      <c r="I79" s="446"/>
      <c r="J79" s="447"/>
      <c r="K79" s="185"/>
      <c r="L79" s="185"/>
      <c r="M79" s="184"/>
      <c r="N79" s="449"/>
      <c r="O79" s="281" t="s">
        <v>24</v>
      </c>
      <c r="P79" s="251" t="s">
        <v>0</v>
      </c>
      <c r="Q79" s="252" t="s">
        <v>11</v>
      </c>
      <c r="R79" s="272">
        <f>SUM(R35:R78)</f>
        <v>365847</v>
      </c>
      <c r="X79" s="469"/>
      <c r="Y79" s="464"/>
      <c r="Z79" s="464"/>
      <c r="AA79" s="464"/>
      <c r="AB79" s="464"/>
      <c r="AC79" s="468"/>
      <c r="AD79" s="466"/>
    </row>
    <row r="80" spans="1:30" s="43" customFormat="1" ht="15.75">
      <c r="A80" s="491"/>
      <c r="B80" s="446"/>
      <c r="C80" s="446"/>
      <c r="D80" s="446"/>
      <c r="E80" s="446"/>
      <c r="F80" s="193"/>
      <c r="G80" s="449"/>
      <c r="H80" s="449"/>
      <c r="I80" s="446"/>
      <c r="J80" s="447"/>
      <c r="K80" s="185"/>
      <c r="L80" s="185"/>
      <c r="M80" s="184"/>
      <c r="N80" s="449"/>
      <c r="O80" s="281" t="s">
        <v>25</v>
      </c>
      <c r="P80" s="251" t="s">
        <v>0</v>
      </c>
      <c r="Q80" s="252" t="s">
        <v>11</v>
      </c>
      <c r="R80" s="272">
        <f>R79*1</f>
        <v>365847</v>
      </c>
      <c r="X80" s="469"/>
      <c r="Y80" s="464"/>
      <c r="Z80" s="464"/>
      <c r="AA80" s="464"/>
      <c r="AB80" s="464"/>
      <c r="AC80" s="468"/>
      <c r="AD80" s="466"/>
    </row>
    <row r="81" spans="1:30">
      <c r="A81" s="445"/>
      <c r="B81" s="1027" t="s">
        <v>507</v>
      </c>
      <c r="C81" s="1027"/>
      <c r="D81" s="1027"/>
      <c r="E81" s="1027"/>
      <c r="F81" s="1027"/>
      <c r="G81" s="1027"/>
      <c r="H81" s="1027"/>
      <c r="I81" s="439"/>
      <c r="J81" s="440"/>
      <c r="K81" s="185"/>
      <c r="L81" s="185"/>
      <c r="M81" s="184"/>
      <c r="N81" s="435"/>
      <c r="O81" s="268"/>
      <c r="P81" s="182"/>
      <c r="Q81" s="182"/>
      <c r="R81" s="527"/>
      <c r="U81" s="168"/>
      <c r="V81" s="168"/>
      <c r="W81" s="168"/>
      <c r="X81" s="172"/>
      <c r="Y81" s="442"/>
      <c r="Z81" s="442"/>
      <c r="AA81" s="442"/>
      <c r="AB81" s="174"/>
      <c r="AC81" s="172"/>
      <c r="AD81" s="176"/>
    </row>
    <row r="82" spans="1:30" ht="13.5" customHeight="1">
      <c r="A82" s="445"/>
      <c r="B82" s="1019" t="s">
        <v>384</v>
      </c>
      <c r="C82" s="1019"/>
      <c r="D82" s="1019"/>
      <c r="E82" s="1019"/>
      <c r="F82" s="1019"/>
      <c r="G82" s="435"/>
      <c r="H82" s="435"/>
      <c r="I82" s="439"/>
      <c r="J82" s="440"/>
      <c r="K82" s="185"/>
      <c r="L82" s="185"/>
      <c r="M82" s="184"/>
      <c r="N82" s="435"/>
      <c r="O82" s="268"/>
      <c r="P82" s="182"/>
      <c r="Q82" s="182"/>
      <c r="R82" s="527"/>
      <c r="X82" s="173"/>
      <c r="Y82" s="177"/>
      <c r="Z82" s="177"/>
      <c r="AA82" s="177"/>
      <c r="AB82" s="177"/>
      <c r="AC82" s="172"/>
      <c r="AD82" s="442"/>
    </row>
    <row r="83" spans="1:30" ht="13.5" customHeight="1">
      <c r="A83" s="445"/>
      <c r="B83" s="1019" t="s">
        <v>387</v>
      </c>
      <c r="C83" s="1019"/>
      <c r="D83" s="1019"/>
      <c r="E83" s="1019"/>
      <c r="F83" s="1019"/>
      <c r="G83" s="435"/>
      <c r="H83" s="203">
        <v>1</v>
      </c>
      <c r="I83" s="438" t="s">
        <v>1</v>
      </c>
      <c r="J83" s="203">
        <v>5</v>
      </c>
      <c r="K83" s="438" t="s">
        <v>1</v>
      </c>
      <c r="L83" s="186">
        <f>H21</f>
        <v>214.3</v>
      </c>
      <c r="M83" s="190" t="s">
        <v>0</v>
      </c>
      <c r="N83" s="213">
        <f t="shared" ref="N83:N85" si="4">L83*J83*H83</f>
        <v>1071.5</v>
      </c>
      <c r="O83" s="294" t="s">
        <v>13</v>
      </c>
      <c r="P83" s="182"/>
      <c r="Q83" s="182"/>
      <c r="R83" s="527"/>
      <c r="X83" s="173"/>
      <c r="Y83" s="177"/>
      <c r="Z83" s="177"/>
      <c r="AA83" s="177"/>
      <c r="AB83" s="177"/>
      <c r="AC83" s="172"/>
      <c r="AD83" s="442"/>
    </row>
    <row r="84" spans="1:30" ht="13.5" customHeight="1">
      <c r="A84" s="445"/>
      <c r="B84" s="1019" t="s">
        <v>388</v>
      </c>
      <c r="C84" s="1019"/>
      <c r="D84" s="1019"/>
      <c r="E84" s="1019"/>
      <c r="F84" s="1019"/>
      <c r="G84" s="435"/>
      <c r="H84" s="203">
        <v>1</v>
      </c>
      <c r="I84" s="438" t="s">
        <v>1</v>
      </c>
      <c r="J84" s="203">
        <v>2</v>
      </c>
      <c r="K84" s="438" t="s">
        <v>1</v>
      </c>
      <c r="L84" s="186">
        <f>L83</f>
        <v>214.3</v>
      </c>
      <c r="M84" s="190" t="s">
        <v>0</v>
      </c>
      <c r="N84" s="213">
        <f t="shared" si="4"/>
        <v>428.6</v>
      </c>
      <c r="O84" s="294" t="s">
        <v>13</v>
      </c>
      <c r="P84" s="182"/>
      <c r="Q84" s="182"/>
      <c r="R84" s="527"/>
      <c r="X84" s="173"/>
      <c r="Y84" s="177"/>
      <c r="Z84" s="177"/>
      <c r="AA84" s="177"/>
      <c r="AB84" s="177"/>
      <c r="AC84" s="172"/>
      <c r="AD84" s="442"/>
    </row>
    <row r="85" spans="1:30" ht="13.5" customHeight="1">
      <c r="A85" s="445"/>
      <c r="B85" s="1019" t="s">
        <v>389</v>
      </c>
      <c r="C85" s="1019"/>
      <c r="D85" s="1019"/>
      <c r="E85" s="1019"/>
      <c r="F85" s="1019"/>
      <c r="G85" s="435"/>
      <c r="H85" s="203">
        <v>1</v>
      </c>
      <c r="I85" s="438" t="s">
        <v>1</v>
      </c>
      <c r="J85" s="203">
        <v>2</v>
      </c>
      <c r="K85" s="438" t="s">
        <v>1</v>
      </c>
      <c r="L85" s="186">
        <f>L84/4</f>
        <v>53.575000000000003</v>
      </c>
      <c r="M85" s="190" t="s">
        <v>0</v>
      </c>
      <c r="N85" s="213">
        <f t="shared" si="4"/>
        <v>107.15</v>
      </c>
      <c r="O85" s="294" t="s">
        <v>13</v>
      </c>
      <c r="P85" s="182"/>
      <c r="Q85" s="182"/>
      <c r="R85" s="527"/>
      <c r="X85" s="173"/>
      <c r="Y85" s="177"/>
      <c r="Z85" s="177"/>
      <c r="AA85" s="177"/>
      <c r="AB85" s="177"/>
      <c r="AC85" s="172"/>
      <c r="AD85" s="442"/>
    </row>
    <row r="86" spans="1:30">
      <c r="A86" s="445"/>
      <c r="B86" s="211"/>
      <c r="C86" s="212"/>
      <c r="D86" s="185"/>
      <c r="E86" s="185"/>
      <c r="F86" s="438"/>
      <c r="G86" s="438"/>
      <c r="H86" s="203"/>
      <c r="I86" s="438"/>
      <c r="J86" s="186"/>
      <c r="K86" s="184"/>
      <c r="L86" s="186" t="s">
        <v>8</v>
      </c>
      <c r="M86" s="190" t="s">
        <v>0</v>
      </c>
      <c r="N86" s="214">
        <f>SUM(N83:N85)</f>
        <v>1607.25</v>
      </c>
      <c r="O86" s="280" t="s">
        <v>13</v>
      </c>
      <c r="P86" s="182"/>
      <c r="Q86" s="182"/>
      <c r="R86" s="527"/>
      <c r="X86" s="173"/>
      <c r="Y86" s="177"/>
      <c r="Z86" s="177"/>
      <c r="AA86" s="177"/>
      <c r="AB86" s="177"/>
      <c r="AC86" s="172"/>
      <c r="AD86" s="442"/>
    </row>
    <row r="87" spans="1:30">
      <c r="A87" s="445"/>
      <c r="B87" s="192"/>
      <c r="C87" s="192"/>
      <c r="D87" s="192"/>
      <c r="E87" s="185"/>
      <c r="F87" s="193" t="s">
        <v>350</v>
      </c>
      <c r="G87" s="435" t="s">
        <v>11</v>
      </c>
      <c r="H87" s="435">
        <v>1.58</v>
      </c>
      <c r="I87" s="1010" t="s">
        <v>353</v>
      </c>
      <c r="J87" s="1015"/>
      <c r="K87" s="185"/>
      <c r="L87" s="185"/>
      <c r="M87" s="184" t="s">
        <v>0</v>
      </c>
      <c r="N87" s="435">
        <f>H87*N86</f>
        <v>2539.4549999999999</v>
      </c>
      <c r="O87" s="268" t="s">
        <v>100</v>
      </c>
      <c r="P87" s="182"/>
      <c r="Q87" s="182"/>
      <c r="R87" s="527"/>
      <c r="X87" s="173"/>
      <c r="Y87" s="177"/>
      <c r="Z87" s="177"/>
      <c r="AA87" s="177"/>
      <c r="AB87" s="177"/>
      <c r="AC87" s="172"/>
      <c r="AD87" s="442"/>
    </row>
    <row r="88" spans="1:30">
      <c r="A88" s="515"/>
      <c r="B88" s="192"/>
      <c r="C88" s="192"/>
      <c r="D88" s="192"/>
      <c r="E88" s="185"/>
      <c r="F88" s="193"/>
      <c r="G88" s="502"/>
      <c r="H88" s="502"/>
      <c r="I88" s="511"/>
      <c r="J88" s="513"/>
      <c r="K88" s="185"/>
      <c r="L88" s="185"/>
      <c r="M88" s="184"/>
      <c r="N88" s="502"/>
      <c r="O88" s="268"/>
      <c r="P88" s="182"/>
      <c r="Q88" s="182"/>
      <c r="R88" s="527"/>
      <c r="X88" s="173"/>
      <c r="Y88" s="177"/>
      <c r="Z88" s="177"/>
      <c r="AA88" s="177"/>
      <c r="AB88" s="177"/>
      <c r="AC88" s="172"/>
      <c r="AD88" s="514"/>
    </row>
    <row r="89" spans="1:30" ht="33" customHeight="1">
      <c r="A89" s="445"/>
      <c r="B89" s="1019" t="s">
        <v>385</v>
      </c>
      <c r="C89" s="1019"/>
      <c r="D89" s="1019"/>
      <c r="E89" s="1019"/>
      <c r="F89" s="1019"/>
      <c r="G89" s="1019"/>
      <c r="H89" s="203">
        <v>1</v>
      </c>
      <c r="I89" s="438" t="s">
        <v>1</v>
      </c>
      <c r="J89" s="203">
        <f>L83/0.1+1</f>
        <v>2144</v>
      </c>
      <c r="K89" s="438" t="s">
        <v>1</v>
      </c>
      <c r="L89" s="186">
        <v>1.2</v>
      </c>
      <c r="M89" s="190" t="s">
        <v>0</v>
      </c>
      <c r="N89" s="213">
        <f>L89*J89*H89</f>
        <v>2572.7999999999997</v>
      </c>
      <c r="O89" s="436" t="s">
        <v>13</v>
      </c>
      <c r="P89" s="182"/>
      <c r="Q89" s="182"/>
      <c r="R89" s="527"/>
      <c r="X89" s="173"/>
      <c r="Y89" s="177"/>
      <c r="Z89" s="177"/>
      <c r="AA89" s="177"/>
      <c r="AB89" s="177"/>
      <c r="AC89" s="172"/>
      <c r="AD89" s="442"/>
    </row>
    <row r="90" spans="1:30">
      <c r="A90" s="445"/>
      <c r="B90" s="211"/>
      <c r="C90" s="212"/>
      <c r="D90" s="185"/>
      <c r="E90" s="185"/>
      <c r="F90" s="438"/>
      <c r="G90" s="438"/>
      <c r="H90" s="203"/>
      <c r="I90" s="438"/>
      <c r="J90" s="186"/>
      <c r="K90" s="184"/>
      <c r="L90" s="186" t="s">
        <v>8</v>
      </c>
      <c r="M90" s="190" t="s">
        <v>0</v>
      </c>
      <c r="N90" s="214">
        <f>SUM(N89)</f>
        <v>2572.7999999999997</v>
      </c>
      <c r="O90" s="280" t="s">
        <v>13</v>
      </c>
      <c r="P90" s="182"/>
      <c r="Q90" s="182"/>
      <c r="R90" s="527"/>
      <c r="X90" s="173"/>
      <c r="Y90" s="177"/>
      <c r="Z90" s="177"/>
      <c r="AA90" s="177"/>
      <c r="AB90" s="177"/>
      <c r="AC90" s="172"/>
      <c r="AD90" s="442"/>
    </row>
    <row r="91" spans="1:30">
      <c r="A91" s="445"/>
      <c r="B91" s="192"/>
      <c r="C91" s="192"/>
      <c r="D91" s="192"/>
      <c r="E91" s="185"/>
      <c r="F91" s="193" t="s">
        <v>350</v>
      </c>
      <c r="G91" s="435" t="s">
        <v>11</v>
      </c>
      <c r="H91" s="435">
        <v>0.39</v>
      </c>
      <c r="I91" s="1010" t="s">
        <v>353</v>
      </c>
      <c r="J91" s="1015"/>
      <c r="K91" s="185"/>
      <c r="L91" s="185"/>
      <c r="M91" s="184" t="s">
        <v>0</v>
      </c>
      <c r="N91" s="435">
        <f>H91*N90</f>
        <v>1003.3919999999999</v>
      </c>
      <c r="O91" s="268" t="s">
        <v>100</v>
      </c>
      <c r="P91" s="182"/>
      <c r="Q91" s="182"/>
      <c r="R91" s="527"/>
      <c r="X91" s="173"/>
      <c r="Y91" s="177"/>
      <c r="Z91" s="177"/>
      <c r="AA91" s="177"/>
      <c r="AB91" s="177"/>
      <c r="AC91" s="172"/>
      <c r="AD91" s="442"/>
    </row>
    <row r="92" spans="1:30">
      <c r="A92" s="445"/>
      <c r="B92" s="192"/>
      <c r="C92" s="192"/>
      <c r="D92" s="192"/>
      <c r="E92" s="185"/>
      <c r="F92" s="193"/>
      <c r="G92" s="435"/>
      <c r="H92" s="435"/>
      <c r="I92" s="439"/>
      <c r="J92" s="440"/>
      <c r="K92" s="185"/>
      <c r="L92" s="185"/>
      <c r="M92" s="184"/>
      <c r="N92" s="435"/>
      <c r="O92" s="268"/>
      <c r="P92" s="182"/>
      <c r="Q92" s="182"/>
      <c r="R92" s="527"/>
      <c r="X92" s="173"/>
      <c r="Y92" s="177"/>
      <c r="Z92" s="177"/>
      <c r="AA92" s="177"/>
      <c r="AB92" s="177"/>
      <c r="AC92" s="172"/>
      <c r="AD92" s="442"/>
    </row>
    <row r="93" spans="1:30">
      <c r="A93" s="445"/>
      <c r="B93" s="1027" t="s">
        <v>515</v>
      </c>
      <c r="C93" s="1027"/>
      <c r="D93" s="1027"/>
      <c r="E93" s="1027"/>
      <c r="F93" s="1027"/>
      <c r="G93" s="1027"/>
      <c r="H93" s="1027"/>
      <c r="I93" s="340"/>
      <c r="J93" s="341"/>
      <c r="K93" s="185"/>
      <c r="L93" s="185"/>
      <c r="M93" s="184"/>
      <c r="N93" s="344"/>
      <c r="O93" s="268"/>
      <c r="P93" s="182"/>
      <c r="Q93" s="182"/>
      <c r="R93" s="527"/>
      <c r="U93" s="168"/>
      <c r="V93" s="168"/>
      <c r="W93" s="168"/>
      <c r="X93" s="172"/>
      <c r="Y93" s="349"/>
      <c r="Z93" s="349"/>
      <c r="AA93" s="349"/>
      <c r="AB93" s="174"/>
      <c r="AC93" s="172"/>
      <c r="AD93" s="176"/>
    </row>
    <row r="94" spans="1:30" ht="15" customHeight="1">
      <c r="A94" s="515"/>
      <c r="B94" s="1022" t="s">
        <v>516</v>
      </c>
      <c r="C94" s="1023"/>
      <c r="D94" s="1023"/>
      <c r="E94" s="1023"/>
      <c r="F94" s="1023"/>
      <c r="G94" s="1023"/>
      <c r="H94" s="1023"/>
      <c r="I94" s="1023"/>
      <c r="J94" s="1023"/>
      <c r="K94" s="185"/>
      <c r="L94" s="185"/>
      <c r="M94" s="184"/>
      <c r="N94" s="435"/>
      <c r="O94" s="268"/>
      <c r="P94" s="182"/>
      <c r="Q94" s="182"/>
      <c r="R94" s="527"/>
      <c r="U94" s="168"/>
      <c r="V94" s="168"/>
      <c r="W94" s="168"/>
      <c r="X94" s="172"/>
      <c r="Y94" s="442"/>
      <c r="Z94" s="442"/>
      <c r="AA94" s="442"/>
      <c r="AB94" s="174"/>
      <c r="AC94" s="172"/>
      <c r="AD94" s="176"/>
    </row>
    <row r="95" spans="1:30" ht="15" customHeight="1">
      <c r="A95" s="445"/>
      <c r="B95" s="1019" t="s">
        <v>384</v>
      </c>
      <c r="C95" s="1019"/>
      <c r="D95" s="1019"/>
      <c r="E95" s="1019"/>
      <c r="F95" s="1019"/>
      <c r="G95" s="344"/>
      <c r="H95" s="344"/>
      <c r="I95" s="340"/>
      <c r="J95" s="341"/>
      <c r="K95" s="185"/>
      <c r="L95" s="185"/>
      <c r="M95" s="184"/>
      <c r="N95" s="344"/>
      <c r="O95" s="268"/>
      <c r="P95" s="182"/>
      <c r="Q95" s="182"/>
      <c r="R95" s="527"/>
      <c r="X95" s="173"/>
      <c r="Y95" s="177"/>
      <c r="Z95" s="177"/>
      <c r="AA95" s="177"/>
      <c r="AB95" s="177"/>
      <c r="AC95" s="172"/>
      <c r="AD95" s="349"/>
    </row>
    <row r="96" spans="1:30" ht="15" customHeight="1">
      <c r="A96" s="445"/>
      <c r="B96" s="1019" t="s">
        <v>387</v>
      </c>
      <c r="C96" s="1019"/>
      <c r="D96" s="1019"/>
      <c r="E96" s="1019"/>
      <c r="F96" s="1019"/>
      <c r="G96" s="344"/>
      <c r="H96" s="203">
        <v>1</v>
      </c>
      <c r="I96" s="342" t="s">
        <v>1</v>
      </c>
      <c r="J96" s="203">
        <v>4</v>
      </c>
      <c r="K96" s="342" t="s">
        <v>1</v>
      </c>
      <c r="L96" s="186">
        <v>195.2</v>
      </c>
      <c r="M96" s="190" t="s">
        <v>0</v>
      </c>
      <c r="N96" s="213">
        <f t="shared" ref="N96:N98" si="5">L96*J96*H96</f>
        <v>780.8</v>
      </c>
      <c r="O96" s="294" t="s">
        <v>13</v>
      </c>
      <c r="P96" s="182"/>
      <c r="Q96" s="182"/>
      <c r="R96" s="527"/>
      <c r="X96" s="173"/>
      <c r="Y96" s="177"/>
      <c r="Z96" s="177"/>
      <c r="AA96" s="177"/>
      <c r="AB96" s="177"/>
      <c r="AC96" s="172"/>
      <c r="AD96" s="349"/>
    </row>
    <row r="97" spans="1:30" ht="15" customHeight="1">
      <c r="A97" s="445"/>
      <c r="B97" s="1019" t="s">
        <v>388</v>
      </c>
      <c r="C97" s="1019"/>
      <c r="D97" s="1019"/>
      <c r="E97" s="1019"/>
      <c r="F97" s="1019"/>
      <c r="G97" s="344"/>
      <c r="H97" s="203">
        <v>1</v>
      </c>
      <c r="I97" s="342" t="s">
        <v>1</v>
      </c>
      <c r="J97" s="203">
        <v>2</v>
      </c>
      <c r="K97" s="342" t="s">
        <v>1</v>
      </c>
      <c r="L97" s="186">
        <f>L96</f>
        <v>195.2</v>
      </c>
      <c r="M97" s="190" t="s">
        <v>0</v>
      </c>
      <c r="N97" s="213">
        <f t="shared" si="5"/>
        <v>390.4</v>
      </c>
      <c r="O97" s="294" t="s">
        <v>13</v>
      </c>
      <c r="P97" s="182"/>
      <c r="Q97" s="182"/>
      <c r="R97" s="527"/>
      <c r="X97" s="173"/>
      <c r="Y97" s="177"/>
      <c r="Z97" s="177"/>
      <c r="AA97" s="177"/>
      <c r="AB97" s="177"/>
      <c r="AC97" s="172"/>
      <c r="AD97" s="349"/>
    </row>
    <row r="98" spans="1:30" ht="15" customHeight="1">
      <c r="A98" s="445"/>
      <c r="B98" s="1019" t="s">
        <v>389</v>
      </c>
      <c r="C98" s="1019"/>
      <c r="D98" s="1019"/>
      <c r="E98" s="1019"/>
      <c r="F98" s="1019"/>
      <c r="G98" s="344"/>
      <c r="H98" s="203">
        <v>1</v>
      </c>
      <c r="I98" s="342" t="s">
        <v>1</v>
      </c>
      <c r="J98" s="203">
        <v>2</v>
      </c>
      <c r="K98" s="342" t="s">
        <v>1</v>
      </c>
      <c r="L98" s="186">
        <f>L97/4</f>
        <v>48.8</v>
      </c>
      <c r="M98" s="190" t="s">
        <v>0</v>
      </c>
      <c r="N98" s="213">
        <f t="shared" si="5"/>
        <v>97.6</v>
      </c>
      <c r="O98" s="294" t="s">
        <v>13</v>
      </c>
      <c r="P98" s="182"/>
      <c r="Q98" s="182"/>
      <c r="R98" s="527"/>
      <c r="X98" s="173"/>
      <c r="Y98" s="177"/>
      <c r="Z98" s="177"/>
      <c r="AA98" s="177"/>
      <c r="AB98" s="177"/>
      <c r="AC98" s="172"/>
      <c r="AD98" s="349"/>
    </row>
    <row r="99" spans="1:30" ht="15" customHeight="1">
      <c r="A99" s="445"/>
      <c r="B99" s="211"/>
      <c r="C99" s="212"/>
      <c r="D99" s="185"/>
      <c r="E99" s="185"/>
      <c r="F99" s="342"/>
      <c r="G99" s="342"/>
      <c r="H99" s="203"/>
      <c r="I99" s="342"/>
      <c r="J99" s="186"/>
      <c r="K99" s="184"/>
      <c r="L99" s="186" t="s">
        <v>8</v>
      </c>
      <c r="M99" s="190" t="s">
        <v>0</v>
      </c>
      <c r="N99" s="214">
        <f>SUM(N96:N98)</f>
        <v>1268.7999999999997</v>
      </c>
      <c r="O99" s="280" t="s">
        <v>13</v>
      </c>
      <c r="P99" s="182"/>
      <c r="Q99" s="182"/>
      <c r="R99" s="527"/>
      <c r="X99" s="173"/>
      <c r="Y99" s="177"/>
      <c r="Z99" s="177"/>
      <c r="AA99" s="177"/>
      <c r="AB99" s="177"/>
      <c r="AC99" s="172"/>
      <c r="AD99" s="349"/>
    </row>
    <row r="100" spans="1:30" ht="15" customHeight="1">
      <c r="A100" s="445"/>
      <c r="B100" s="192"/>
      <c r="C100" s="192"/>
      <c r="D100" s="192"/>
      <c r="E100" s="185"/>
      <c r="F100" s="193" t="s">
        <v>350</v>
      </c>
      <c r="G100" s="344" t="s">
        <v>11</v>
      </c>
      <c r="H100" s="344">
        <v>1.58</v>
      </c>
      <c r="I100" s="1010" t="s">
        <v>353</v>
      </c>
      <c r="J100" s="1015"/>
      <c r="K100" s="185"/>
      <c r="L100" s="185"/>
      <c r="M100" s="184" t="s">
        <v>0</v>
      </c>
      <c r="N100" s="344">
        <f>H100*N99</f>
        <v>2004.7039999999997</v>
      </c>
      <c r="O100" s="268" t="s">
        <v>100</v>
      </c>
      <c r="P100" s="182"/>
      <c r="Q100" s="182"/>
      <c r="R100" s="527"/>
      <c r="X100" s="173"/>
      <c r="Y100" s="177"/>
      <c r="Z100" s="177"/>
      <c r="AA100" s="177"/>
      <c r="AB100" s="177"/>
      <c r="AC100" s="172"/>
      <c r="AD100" s="349"/>
    </row>
    <row r="101" spans="1:30" s="361" customFormat="1" ht="33" customHeight="1">
      <c r="A101" s="492"/>
      <c r="B101" s="1026" t="s">
        <v>385</v>
      </c>
      <c r="C101" s="1026"/>
      <c r="D101" s="1026"/>
      <c r="E101" s="1026"/>
      <c r="F101" s="1026"/>
      <c r="G101" s="1026"/>
      <c r="H101" s="203">
        <v>2</v>
      </c>
      <c r="I101" s="342" t="s">
        <v>1</v>
      </c>
      <c r="J101" s="203">
        <f>L96/0.1+1</f>
        <v>1952.9999999999998</v>
      </c>
      <c r="K101" s="342" t="s">
        <v>1</v>
      </c>
      <c r="L101" s="186">
        <v>1.5</v>
      </c>
      <c r="M101" s="190" t="s">
        <v>0</v>
      </c>
      <c r="N101" s="191">
        <f>L101*J101*H101</f>
        <v>5858.9999999999991</v>
      </c>
      <c r="O101" s="343" t="s">
        <v>13</v>
      </c>
      <c r="P101" s="211"/>
      <c r="Q101" s="211"/>
      <c r="R101" s="512"/>
      <c r="X101" s="176"/>
      <c r="Y101" s="177"/>
      <c r="Z101" s="177"/>
      <c r="AA101" s="177"/>
      <c r="AB101" s="177"/>
      <c r="AC101" s="362"/>
      <c r="AD101" s="349"/>
    </row>
    <row r="102" spans="1:30">
      <c r="A102" s="445"/>
      <c r="B102" s="211"/>
      <c r="C102" s="212"/>
      <c r="D102" s="185"/>
      <c r="E102" s="185"/>
      <c r="F102" s="342"/>
      <c r="G102" s="342"/>
      <c r="H102" s="203"/>
      <c r="I102" s="342"/>
      <c r="J102" s="186"/>
      <c r="K102" s="184"/>
      <c r="L102" s="186" t="s">
        <v>8</v>
      </c>
      <c r="M102" s="190" t="s">
        <v>0</v>
      </c>
      <c r="N102" s="214">
        <f>SUM(N101)</f>
        <v>5858.9999999999991</v>
      </c>
      <c r="O102" s="280" t="s">
        <v>13</v>
      </c>
      <c r="P102" s="182"/>
      <c r="Q102" s="182"/>
      <c r="R102" s="527"/>
      <c r="X102" s="173"/>
      <c r="Y102" s="177"/>
      <c r="Z102" s="177"/>
      <c r="AA102" s="177"/>
      <c r="AB102" s="177"/>
      <c r="AC102" s="172"/>
      <c r="AD102" s="349"/>
    </row>
    <row r="103" spans="1:30">
      <c r="A103" s="445"/>
      <c r="B103" s="192"/>
      <c r="C103" s="192"/>
      <c r="D103" s="192"/>
      <c r="E103" s="185"/>
      <c r="F103" s="193" t="s">
        <v>350</v>
      </c>
      <c r="G103" s="344" t="s">
        <v>11</v>
      </c>
      <c r="H103" s="344">
        <v>0.39</v>
      </c>
      <c r="I103" s="1010" t="s">
        <v>353</v>
      </c>
      <c r="J103" s="1015"/>
      <c r="K103" s="185"/>
      <c r="L103" s="185"/>
      <c r="M103" s="184" t="s">
        <v>0</v>
      </c>
      <c r="N103" s="344">
        <f>H103*N102</f>
        <v>2285.0099999999998</v>
      </c>
      <c r="O103" s="268" t="s">
        <v>100</v>
      </c>
      <c r="P103" s="182"/>
      <c r="Q103" s="182"/>
      <c r="R103" s="527"/>
      <c r="X103" s="173"/>
      <c r="Y103" s="177"/>
      <c r="Z103" s="177"/>
      <c r="AA103" s="177"/>
      <c r="AB103" s="177"/>
      <c r="AC103" s="172"/>
      <c r="AD103" s="349"/>
    </row>
    <row r="104" spans="1:30">
      <c r="A104" s="445"/>
      <c r="B104" s="192"/>
      <c r="C104" s="192"/>
      <c r="D104" s="192"/>
      <c r="E104" s="185"/>
      <c r="F104" s="193"/>
      <c r="G104" s="344"/>
      <c r="H104" s="344"/>
      <c r="I104" s="340"/>
      <c r="J104" s="341"/>
      <c r="K104" s="185"/>
      <c r="L104" s="185"/>
      <c r="M104" s="184"/>
      <c r="N104" s="344"/>
      <c r="O104" s="268"/>
      <c r="P104" s="182"/>
      <c r="Q104" s="182"/>
      <c r="R104" s="527"/>
      <c r="X104" s="173"/>
      <c r="Y104" s="177"/>
      <c r="Z104" s="177"/>
      <c r="AA104" s="177"/>
      <c r="AB104" s="177"/>
      <c r="AC104" s="172"/>
      <c r="AD104" s="349"/>
    </row>
    <row r="105" spans="1:30" ht="14.25" customHeight="1">
      <c r="A105" s="445"/>
      <c r="B105" s="1024" t="s">
        <v>517</v>
      </c>
      <c r="C105" s="1024"/>
      <c r="D105" s="1024"/>
      <c r="E105" s="1024"/>
      <c r="F105" s="1024"/>
      <c r="G105" s="1024"/>
      <c r="H105" s="1024"/>
      <c r="I105" s="439"/>
      <c r="J105" s="440"/>
      <c r="K105" s="185"/>
      <c r="L105" s="185"/>
      <c r="M105" s="184"/>
      <c r="N105" s="435"/>
      <c r="O105" s="268"/>
      <c r="P105" s="182"/>
      <c r="Q105" s="182"/>
      <c r="R105" s="527"/>
      <c r="U105" s="168"/>
      <c r="V105" s="168"/>
      <c r="W105" s="168"/>
      <c r="X105" s="172"/>
      <c r="Y105" s="442"/>
      <c r="Z105" s="442"/>
      <c r="AA105" s="442"/>
      <c r="AB105" s="174"/>
      <c r="AC105" s="172"/>
      <c r="AD105" s="176"/>
    </row>
    <row r="106" spans="1:30" ht="14.25" customHeight="1">
      <c r="A106" s="445"/>
      <c r="B106" s="1019" t="s">
        <v>534</v>
      </c>
      <c r="C106" s="1019"/>
      <c r="D106" s="1019"/>
      <c r="E106" s="1019"/>
      <c r="F106" s="1019"/>
      <c r="G106" s="435"/>
      <c r="H106" s="435"/>
      <c r="I106" s="439"/>
      <c r="J106" s="440"/>
      <c r="K106" s="185"/>
      <c r="L106" s="185"/>
      <c r="M106" s="184"/>
      <c r="N106" s="435"/>
      <c r="O106" s="268"/>
      <c r="P106" s="182"/>
      <c r="Q106" s="182"/>
      <c r="R106" s="527"/>
      <c r="X106" s="173"/>
      <c r="Y106" s="177"/>
      <c r="Z106" s="177"/>
      <c r="AA106" s="177"/>
      <c r="AB106" s="177"/>
      <c r="AC106" s="172"/>
      <c r="AD106" s="442"/>
    </row>
    <row r="107" spans="1:30" ht="14.25" customHeight="1">
      <c r="A107" s="445"/>
      <c r="B107" s="1019" t="s">
        <v>387</v>
      </c>
      <c r="C107" s="1019"/>
      <c r="D107" s="1019"/>
      <c r="E107" s="1019"/>
      <c r="F107" s="1019"/>
      <c r="G107" s="435"/>
      <c r="H107" s="203">
        <v>1</v>
      </c>
      <c r="I107" s="438" t="s">
        <v>1</v>
      </c>
      <c r="J107" s="203">
        <v>3</v>
      </c>
      <c r="K107" s="438" t="s">
        <v>1</v>
      </c>
      <c r="L107" s="186">
        <v>43.5</v>
      </c>
      <c r="M107" s="190" t="s">
        <v>0</v>
      </c>
      <c r="N107" s="213">
        <f t="shared" ref="N107:N109" si="6">L107*J107*H107</f>
        <v>130.5</v>
      </c>
      <c r="O107" s="294" t="s">
        <v>13</v>
      </c>
      <c r="P107" s="182"/>
      <c r="Q107" s="182"/>
      <c r="R107" s="527"/>
      <c r="X107" s="173"/>
      <c r="Y107" s="177"/>
      <c r="Z107" s="177"/>
      <c r="AA107" s="177"/>
      <c r="AB107" s="177"/>
      <c r="AC107" s="172"/>
      <c r="AD107" s="442"/>
    </row>
    <row r="108" spans="1:30" ht="14.25" customHeight="1">
      <c r="A108" s="445"/>
      <c r="B108" s="1019" t="s">
        <v>388</v>
      </c>
      <c r="C108" s="1019"/>
      <c r="D108" s="1019"/>
      <c r="E108" s="1019"/>
      <c r="F108" s="1019"/>
      <c r="G108" s="435"/>
      <c r="H108" s="203">
        <v>1</v>
      </c>
      <c r="I108" s="438" t="s">
        <v>1</v>
      </c>
      <c r="J108" s="203">
        <v>2</v>
      </c>
      <c r="K108" s="438" t="s">
        <v>1</v>
      </c>
      <c r="L108" s="186">
        <f>L107/4</f>
        <v>10.875</v>
      </c>
      <c r="M108" s="190" t="s">
        <v>0</v>
      </c>
      <c r="N108" s="213">
        <f t="shared" si="6"/>
        <v>21.75</v>
      </c>
      <c r="O108" s="294" t="s">
        <v>13</v>
      </c>
      <c r="P108" s="182"/>
      <c r="Q108" s="182"/>
      <c r="R108" s="527"/>
      <c r="X108" s="173"/>
      <c r="Y108" s="177"/>
      <c r="Z108" s="177"/>
      <c r="AA108" s="177"/>
      <c r="AB108" s="177"/>
      <c r="AC108" s="172"/>
      <c r="AD108" s="442"/>
    </row>
    <row r="109" spans="1:30" ht="14.25" customHeight="1">
      <c r="A109" s="445"/>
      <c r="B109" s="1019" t="s">
        <v>389</v>
      </c>
      <c r="C109" s="1019"/>
      <c r="D109" s="1019"/>
      <c r="E109" s="1019"/>
      <c r="F109" s="1019"/>
      <c r="G109" s="435"/>
      <c r="H109" s="203">
        <v>1</v>
      </c>
      <c r="I109" s="438" t="s">
        <v>1</v>
      </c>
      <c r="J109" s="203">
        <v>2</v>
      </c>
      <c r="K109" s="438" t="s">
        <v>1</v>
      </c>
      <c r="L109" s="186">
        <f>L108/4</f>
        <v>2.71875</v>
      </c>
      <c r="M109" s="190" t="s">
        <v>0</v>
      </c>
      <c r="N109" s="213">
        <f t="shared" si="6"/>
        <v>5.4375</v>
      </c>
      <c r="O109" s="294" t="s">
        <v>13</v>
      </c>
      <c r="P109" s="182"/>
      <c r="Q109" s="182"/>
      <c r="R109" s="527"/>
      <c r="X109" s="173"/>
      <c r="Y109" s="177"/>
      <c r="Z109" s="177"/>
      <c r="AA109" s="177"/>
      <c r="AB109" s="177"/>
      <c r="AC109" s="172"/>
      <c r="AD109" s="442"/>
    </row>
    <row r="110" spans="1:30" ht="14.25" customHeight="1">
      <c r="A110" s="445"/>
      <c r="B110" s="211"/>
      <c r="C110" s="212"/>
      <c r="D110" s="185"/>
      <c r="E110" s="185"/>
      <c r="F110" s="438"/>
      <c r="G110" s="438"/>
      <c r="H110" s="203"/>
      <c r="I110" s="438"/>
      <c r="J110" s="186"/>
      <c r="K110" s="184"/>
      <c r="L110" s="186" t="s">
        <v>8</v>
      </c>
      <c r="M110" s="190" t="s">
        <v>0</v>
      </c>
      <c r="N110" s="214">
        <f>SUM(N107:N109)</f>
        <v>157.6875</v>
      </c>
      <c r="O110" s="280" t="s">
        <v>13</v>
      </c>
      <c r="P110" s="182"/>
      <c r="Q110" s="182"/>
      <c r="R110" s="527"/>
      <c r="X110" s="173"/>
      <c r="Y110" s="177"/>
      <c r="Z110" s="177"/>
      <c r="AA110" s="177"/>
      <c r="AB110" s="177"/>
      <c r="AC110" s="172"/>
      <c r="AD110" s="442"/>
    </row>
    <row r="111" spans="1:30" ht="14.25" customHeight="1">
      <c r="A111" s="445"/>
      <c r="B111" s="192"/>
      <c r="C111" s="192"/>
      <c r="D111" s="192"/>
      <c r="E111" s="185"/>
      <c r="F111" s="193" t="s">
        <v>350</v>
      </c>
      <c r="G111" s="435" t="s">
        <v>11</v>
      </c>
      <c r="H111" s="435">
        <v>3.85</v>
      </c>
      <c r="I111" s="1010" t="s">
        <v>353</v>
      </c>
      <c r="J111" s="1015"/>
      <c r="K111" s="185"/>
      <c r="L111" s="185"/>
      <c r="M111" s="184" t="s">
        <v>0</v>
      </c>
      <c r="N111" s="435">
        <f>H111*N110</f>
        <v>607.09687500000007</v>
      </c>
      <c r="O111" s="268" t="s">
        <v>100</v>
      </c>
      <c r="P111" s="182"/>
      <c r="Q111" s="182"/>
      <c r="R111" s="527"/>
      <c r="X111" s="173"/>
      <c r="Y111" s="177"/>
      <c r="Z111" s="177"/>
      <c r="AA111" s="177"/>
      <c r="AB111" s="177"/>
      <c r="AC111" s="172"/>
      <c r="AD111" s="442"/>
    </row>
    <row r="112" spans="1:30" ht="14.25" customHeight="1">
      <c r="A112" s="515"/>
      <c r="B112" s="1019" t="s">
        <v>445</v>
      </c>
      <c r="C112" s="1019"/>
      <c r="D112" s="1019"/>
      <c r="E112" s="1019"/>
      <c r="F112" s="1019"/>
      <c r="G112" s="502"/>
      <c r="H112" s="502"/>
      <c r="I112" s="511"/>
      <c r="J112" s="513"/>
      <c r="K112" s="185"/>
      <c r="L112" s="185"/>
      <c r="M112" s="184"/>
      <c r="N112" s="502"/>
      <c r="O112" s="268"/>
      <c r="P112" s="182"/>
      <c r="Q112" s="182"/>
      <c r="R112" s="527"/>
      <c r="X112" s="173"/>
      <c r="Y112" s="177"/>
      <c r="Z112" s="177"/>
      <c r="AA112" s="177"/>
      <c r="AB112" s="177"/>
      <c r="AC112" s="172"/>
      <c r="AD112" s="514"/>
    </row>
    <row r="113" spans="1:30" ht="14.25" customHeight="1">
      <c r="A113" s="515"/>
      <c r="B113" s="1019" t="s">
        <v>387</v>
      </c>
      <c r="C113" s="1019"/>
      <c r="D113" s="1019"/>
      <c r="E113" s="1019"/>
      <c r="F113" s="1019"/>
      <c r="G113" s="502"/>
      <c r="H113" s="203">
        <v>1</v>
      </c>
      <c r="I113" s="510" t="s">
        <v>1</v>
      </c>
      <c r="J113" s="203">
        <v>5</v>
      </c>
      <c r="K113" s="510" t="s">
        <v>1</v>
      </c>
      <c r="L113" s="186">
        <v>43.5</v>
      </c>
      <c r="M113" s="190" t="s">
        <v>0</v>
      </c>
      <c r="N113" s="213">
        <f t="shared" ref="N113:N115" si="7">L113*J113*H113</f>
        <v>217.5</v>
      </c>
      <c r="O113" s="294" t="s">
        <v>13</v>
      </c>
      <c r="P113" s="182"/>
      <c r="Q113" s="182"/>
      <c r="R113" s="527"/>
      <c r="X113" s="173"/>
      <c r="Y113" s="177"/>
      <c r="Z113" s="177"/>
      <c r="AA113" s="177"/>
      <c r="AB113" s="177"/>
      <c r="AC113" s="172"/>
      <c r="AD113" s="514"/>
    </row>
    <row r="114" spans="1:30" ht="14.25" customHeight="1">
      <c r="A114" s="515"/>
      <c r="B114" s="1019" t="s">
        <v>388</v>
      </c>
      <c r="C114" s="1019"/>
      <c r="D114" s="1019"/>
      <c r="E114" s="1019"/>
      <c r="F114" s="1019"/>
      <c r="G114" s="502"/>
      <c r="H114" s="203">
        <v>1</v>
      </c>
      <c r="I114" s="510" t="s">
        <v>1</v>
      </c>
      <c r="J114" s="203">
        <v>2</v>
      </c>
      <c r="K114" s="510" t="s">
        <v>1</v>
      </c>
      <c r="L114" s="186">
        <f>L113/4</f>
        <v>10.875</v>
      </c>
      <c r="M114" s="190" t="s">
        <v>0</v>
      </c>
      <c r="N114" s="213">
        <f t="shared" si="7"/>
        <v>21.75</v>
      </c>
      <c r="O114" s="294" t="s">
        <v>13</v>
      </c>
      <c r="P114" s="182"/>
      <c r="Q114" s="182"/>
      <c r="R114" s="527"/>
      <c r="X114" s="173"/>
      <c r="Y114" s="177"/>
      <c r="Z114" s="177"/>
      <c r="AA114" s="177"/>
      <c r="AB114" s="177"/>
      <c r="AC114" s="172"/>
      <c r="AD114" s="514"/>
    </row>
    <row r="115" spans="1:30" ht="14.25" customHeight="1">
      <c r="A115" s="515"/>
      <c r="B115" s="1019" t="s">
        <v>389</v>
      </c>
      <c r="C115" s="1019"/>
      <c r="D115" s="1019"/>
      <c r="E115" s="1019"/>
      <c r="F115" s="1019"/>
      <c r="G115" s="502"/>
      <c r="H115" s="203">
        <v>1</v>
      </c>
      <c r="I115" s="510" t="s">
        <v>1</v>
      </c>
      <c r="J115" s="203">
        <v>2</v>
      </c>
      <c r="K115" s="510" t="s">
        <v>1</v>
      </c>
      <c r="L115" s="186">
        <f>L114/4</f>
        <v>2.71875</v>
      </c>
      <c r="M115" s="190" t="s">
        <v>0</v>
      </c>
      <c r="N115" s="213">
        <f t="shared" si="7"/>
        <v>5.4375</v>
      </c>
      <c r="O115" s="294" t="s">
        <v>13</v>
      </c>
      <c r="P115" s="182"/>
      <c r="Q115" s="182"/>
      <c r="R115" s="527"/>
      <c r="X115" s="173"/>
      <c r="Y115" s="177"/>
      <c r="Z115" s="177"/>
      <c r="AA115" s="177"/>
      <c r="AB115" s="177"/>
      <c r="AC115" s="172"/>
      <c r="AD115" s="514"/>
    </row>
    <row r="116" spans="1:30" ht="14.25" customHeight="1">
      <c r="A116" s="515"/>
      <c r="B116" s="211"/>
      <c r="C116" s="212"/>
      <c r="D116" s="185"/>
      <c r="E116" s="185"/>
      <c r="F116" s="510"/>
      <c r="G116" s="510"/>
      <c r="H116" s="203"/>
      <c r="I116" s="510"/>
      <c r="J116" s="186"/>
      <c r="K116" s="184"/>
      <c r="L116" s="186" t="s">
        <v>8</v>
      </c>
      <c r="M116" s="190" t="s">
        <v>0</v>
      </c>
      <c r="N116" s="214">
        <f>SUM(N113:N115)</f>
        <v>244.6875</v>
      </c>
      <c r="O116" s="280" t="s">
        <v>13</v>
      </c>
      <c r="P116" s="182"/>
      <c r="Q116" s="182"/>
      <c r="R116" s="527"/>
      <c r="X116" s="173"/>
      <c r="Y116" s="177"/>
      <c r="Z116" s="177"/>
      <c r="AA116" s="177"/>
      <c r="AB116" s="177"/>
      <c r="AC116" s="172"/>
      <c r="AD116" s="514"/>
    </row>
    <row r="117" spans="1:30" ht="14.25" customHeight="1">
      <c r="A117" s="515"/>
      <c r="B117" s="192"/>
      <c r="C117" s="192"/>
      <c r="D117" s="192"/>
      <c r="E117" s="185"/>
      <c r="F117" s="193" t="s">
        <v>350</v>
      </c>
      <c r="G117" s="502" t="s">
        <v>11</v>
      </c>
      <c r="H117" s="502">
        <v>2.46</v>
      </c>
      <c r="I117" s="1010" t="s">
        <v>353</v>
      </c>
      <c r="J117" s="1015"/>
      <c r="K117" s="185"/>
      <c r="L117" s="185"/>
      <c r="M117" s="184" t="s">
        <v>0</v>
      </c>
      <c r="N117" s="502">
        <f>H117*N116</f>
        <v>601.93124999999998</v>
      </c>
      <c r="O117" s="268" t="s">
        <v>100</v>
      </c>
      <c r="P117" s="182"/>
      <c r="Q117" s="182"/>
      <c r="R117" s="527"/>
      <c r="X117" s="173"/>
      <c r="Y117" s="177"/>
      <c r="Z117" s="177"/>
      <c r="AA117" s="177"/>
      <c r="AB117" s="177"/>
      <c r="AC117" s="172"/>
      <c r="AD117" s="514"/>
    </row>
    <row r="118" spans="1:30" ht="33" customHeight="1">
      <c r="A118" s="445"/>
      <c r="B118" s="1019" t="s">
        <v>385</v>
      </c>
      <c r="C118" s="1019"/>
      <c r="D118" s="1019"/>
      <c r="E118" s="1019"/>
      <c r="F118" s="1019"/>
      <c r="G118" s="1019"/>
      <c r="H118" s="203">
        <v>1</v>
      </c>
      <c r="I118" s="438" t="s">
        <v>1</v>
      </c>
      <c r="J118" s="203">
        <f>L107/0.1+1</f>
        <v>436</v>
      </c>
      <c r="K118" s="438" t="s">
        <v>1</v>
      </c>
      <c r="L118" s="186">
        <v>1.5</v>
      </c>
      <c r="M118" s="190" t="s">
        <v>0</v>
      </c>
      <c r="N118" s="213">
        <f>L118*J118*H118</f>
        <v>654</v>
      </c>
      <c r="O118" s="436" t="s">
        <v>13</v>
      </c>
      <c r="P118" s="182"/>
      <c r="Q118" s="182"/>
      <c r="R118" s="527"/>
      <c r="X118" s="173"/>
      <c r="Y118" s="177"/>
      <c r="Z118" s="177"/>
      <c r="AA118" s="177"/>
      <c r="AB118" s="177"/>
      <c r="AC118" s="172"/>
      <c r="AD118" s="442"/>
    </row>
    <row r="119" spans="1:30">
      <c r="A119" s="445"/>
      <c r="B119" s="211"/>
      <c r="C119" s="212"/>
      <c r="D119" s="185"/>
      <c r="E119" s="185"/>
      <c r="F119" s="438"/>
      <c r="G119" s="438"/>
      <c r="H119" s="203"/>
      <c r="I119" s="438"/>
      <c r="J119" s="186"/>
      <c r="K119" s="184"/>
      <c r="L119" s="186" t="s">
        <v>8</v>
      </c>
      <c r="M119" s="190" t="s">
        <v>0</v>
      </c>
      <c r="N119" s="214">
        <f>SUM(N118)</f>
        <v>654</v>
      </c>
      <c r="O119" s="280" t="s">
        <v>13</v>
      </c>
      <c r="P119" s="182"/>
      <c r="Q119" s="182"/>
      <c r="R119" s="527"/>
      <c r="X119" s="173"/>
      <c r="Y119" s="177"/>
      <c r="Z119" s="177"/>
      <c r="AA119" s="177"/>
      <c r="AB119" s="177"/>
      <c r="AC119" s="172"/>
      <c r="AD119" s="442"/>
    </row>
    <row r="120" spans="1:30">
      <c r="A120" s="445"/>
      <c r="B120" s="192"/>
      <c r="C120" s="192"/>
      <c r="D120" s="192"/>
      <c r="E120" s="185"/>
      <c r="F120" s="193" t="s">
        <v>350</v>
      </c>
      <c r="G120" s="435" t="s">
        <v>11</v>
      </c>
      <c r="H120" s="435">
        <v>0.39</v>
      </c>
      <c r="I120" s="1010" t="s">
        <v>353</v>
      </c>
      <c r="J120" s="1015"/>
      <c r="K120" s="185"/>
      <c r="L120" s="185"/>
      <c r="M120" s="184" t="s">
        <v>0</v>
      </c>
      <c r="N120" s="435">
        <f>H120*N119</f>
        <v>255.06</v>
      </c>
      <c r="O120" s="268" t="s">
        <v>100</v>
      </c>
      <c r="P120" s="182"/>
      <c r="Q120" s="182"/>
      <c r="R120" s="527"/>
      <c r="X120" s="173"/>
      <c r="Y120" s="177"/>
      <c r="Z120" s="177"/>
      <c r="AA120" s="177"/>
      <c r="AB120" s="177"/>
      <c r="AC120" s="172"/>
      <c r="AD120" s="442"/>
    </row>
    <row r="121" spans="1:30">
      <c r="A121" s="281"/>
      <c r="B121" s="215"/>
      <c r="C121" s="215"/>
      <c r="D121" s="225"/>
      <c r="E121" s="225"/>
      <c r="F121" s="226"/>
      <c r="G121" s="450"/>
      <c r="H121" s="226"/>
      <c r="I121" s="1012" t="s">
        <v>359</v>
      </c>
      <c r="J121" s="1012"/>
      <c r="K121" s="1012"/>
      <c r="L121" s="1012"/>
      <c r="M121" s="228" t="s">
        <v>0</v>
      </c>
      <c r="N121" s="499">
        <f>N120+N111+N103+N100+N91+N87+N71+N64+N59+N54+N48+N42+N117</f>
        <v>17146.689125000001</v>
      </c>
      <c r="O121" s="282" t="s">
        <v>100</v>
      </c>
      <c r="P121" s="228"/>
      <c r="Q121" s="205"/>
      <c r="R121" s="521"/>
    </row>
    <row r="122" spans="1:30">
      <c r="A122" s="281"/>
      <c r="B122" s="229"/>
      <c r="C122" s="229"/>
      <c r="D122" s="229"/>
      <c r="E122" s="229"/>
      <c r="F122" s="229"/>
      <c r="G122" s="229"/>
      <c r="H122" s="996" t="s">
        <v>398</v>
      </c>
      <c r="I122" s="996"/>
      <c r="J122" s="996"/>
      <c r="K122" s="996"/>
      <c r="L122" s="996"/>
      <c r="M122" s="184" t="s">
        <v>0</v>
      </c>
      <c r="N122" s="500">
        <f>N121</f>
        <v>17146.689125000001</v>
      </c>
      <c r="O122" s="274" t="s">
        <v>100</v>
      </c>
      <c r="P122" s="190"/>
      <c r="Q122" s="205"/>
      <c r="R122" s="521"/>
    </row>
    <row r="123" spans="1:30" ht="18.75" customHeight="1">
      <c r="A123" s="281"/>
      <c r="B123" s="192"/>
      <c r="C123" s="192"/>
      <c r="D123" s="230"/>
      <c r="E123" s="230"/>
      <c r="F123" s="231"/>
      <c r="G123" s="343"/>
      <c r="H123" s="231"/>
      <c r="I123" s="343"/>
      <c r="J123" s="187"/>
      <c r="K123" s="190"/>
      <c r="L123" s="187"/>
      <c r="M123" s="184" t="s">
        <v>0</v>
      </c>
      <c r="N123" s="287">
        <f>N122/100</f>
        <v>171.46689125</v>
      </c>
      <c r="O123" s="281" t="s">
        <v>368</v>
      </c>
      <c r="P123" s="190"/>
      <c r="Q123" s="205"/>
      <c r="R123" s="521"/>
    </row>
    <row r="124" spans="1:30" ht="15" customHeight="1">
      <c r="A124" s="445"/>
      <c r="B124" s="182"/>
      <c r="C124" s="182"/>
      <c r="D124" s="182"/>
      <c r="E124" s="182"/>
      <c r="F124" s="182"/>
      <c r="G124" s="182"/>
      <c r="H124" s="182"/>
      <c r="I124" s="182"/>
      <c r="J124" s="193" t="s">
        <v>350</v>
      </c>
      <c r="K124" s="344" t="s">
        <v>11</v>
      </c>
      <c r="L124" s="989">
        <v>9938</v>
      </c>
      <c r="M124" s="989"/>
      <c r="N124" s="341" t="s">
        <v>360</v>
      </c>
      <c r="O124" s="294"/>
      <c r="P124" s="184" t="s">
        <v>0</v>
      </c>
      <c r="Q124" s="197" t="s">
        <v>11</v>
      </c>
      <c r="R124" s="530">
        <f>ROUND(N123*L124,0)</f>
        <v>1704038</v>
      </c>
    </row>
    <row r="125" spans="1:30" ht="15" customHeight="1">
      <c r="A125" s="445"/>
      <c r="B125" s="182"/>
      <c r="C125" s="182"/>
      <c r="D125" s="182"/>
      <c r="E125" s="182"/>
      <c r="F125" s="182"/>
      <c r="G125" s="182"/>
      <c r="H125" s="182"/>
      <c r="I125" s="182"/>
      <c r="J125" s="193"/>
      <c r="K125" s="449"/>
      <c r="L125" s="449"/>
      <c r="M125" s="449"/>
      <c r="N125" s="447"/>
      <c r="O125" s="294"/>
      <c r="P125" s="184"/>
      <c r="Q125" s="197"/>
      <c r="R125" s="530"/>
    </row>
    <row r="126" spans="1:30" ht="15" customHeight="1">
      <c r="A126" s="515"/>
      <c r="B126" s="182"/>
      <c r="C126" s="182"/>
      <c r="D126" s="182"/>
      <c r="E126" s="182"/>
      <c r="F126" s="182"/>
      <c r="G126" s="182"/>
      <c r="H126" s="182"/>
      <c r="I126" s="182"/>
      <c r="J126" s="193"/>
      <c r="K126" s="502"/>
      <c r="L126" s="502"/>
      <c r="M126" s="502"/>
      <c r="N126" s="513"/>
      <c r="O126" s="294"/>
      <c r="P126" s="184"/>
      <c r="Q126" s="197"/>
      <c r="R126" s="530"/>
    </row>
    <row r="127" spans="1:30" ht="15" customHeight="1">
      <c r="A127" s="445"/>
      <c r="B127" s="182"/>
      <c r="C127" s="182"/>
      <c r="D127" s="182"/>
      <c r="E127" s="182"/>
      <c r="F127" s="182"/>
      <c r="G127" s="182"/>
      <c r="H127" s="182"/>
      <c r="I127" s="182"/>
      <c r="J127" s="193"/>
      <c r="K127" s="344"/>
      <c r="L127" s="344"/>
      <c r="M127" s="344"/>
      <c r="N127" s="341"/>
      <c r="O127" s="281" t="s">
        <v>24</v>
      </c>
      <c r="P127" s="251" t="s">
        <v>0</v>
      </c>
      <c r="Q127" s="252" t="s">
        <v>11</v>
      </c>
      <c r="R127" s="272">
        <f>SUM(R80:R126)</f>
        <v>2069885</v>
      </c>
    </row>
    <row r="128" spans="1:30" ht="18" customHeight="1">
      <c r="A128" s="445"/>
      <c r="B128" s="182"/>
      <c r="C128" s="182"/>
      <c r="D128" s="182"/>
      <c r="E128" s="182"/>
      <c r="F128" s="182"/>
      <c r="G128" s="182"/>
      <c r="H128" s="182"/>
      <c r="I128" s="182"/>
      <c r="J128" s="193"/>
      <c r="K128" s="344"/>
      <c r="L128" s="344"/>
      <c r="M128" s="344"/>
      <c r="N128" s="341"/>
      <c r="O128" s="281" t="s">
        <v>25</v>
      </c>
      <c r="P128" s="251" t="s">
        <v>0</v>
      </c>
      <c r="Q128" s="252" t="s">
        <v>11</v>
      </c>
      <c r="R128" s="272">
        <f>R127*1</f>
        <v>2069885</v>
      </c>
    </row>
    <row r="129" spans="1:18" ht="12" customHeight="1">
      <c r="A129" s="445"/>
      <c r="B129" s="182"/>
      <c r="C129" s="182"/>
      <c r="D129" s="182"/>
      <c r="E129" s="182"/>
      <c r="F129" s="182"/>
      <c r="G129" s="182"/>
      <c r="H129" s="182"/>
      <c r="I129" s="182"/>
      <c r="J129" s="193"/>
      <c r="K129" s="363"/>
      <c r="L129" s="363"/>
      <c r="M129" s="363"/>
      <c r="N129" s="365"/>
      <c r="O129" s="281"/>
      <c r="P129" s="251"/>
      <c r="Q129" s="252"/>
      <c r="R129" s="272"/>
    </row>
    <row r="130" spans="1:18" ht="50.25" customHeight="1">
      <c r="A130" s="487" t="s">
        <v>433</v>
      </c>
      <c r="B130" s="999" t="s">
        <v>354</v>
      </c>
      <c r="C130" s="999"/>
      <c r="D130" s="999"/>
      <c r="E130" s="999"/>
      <c r="F130" s="999"/>
      <c r="G130" s="999"/>
      <c r="H130" s="999"/>
      <c r="I130" s="999"/>
      <c r="J130" s="999"/>
      <c r="K130" s="999"/>
      <c r="L130" s="999"/>
      <c r="M130" s="999"/>
      <c r="N130" s="999"/>
      <c r="O130" s="999"/>
      <c r="P130" s="184"/>
      <c r="Q130" s="197"/>
      <c r="R130" s="530"/>
    </row>
    <row r="131" spans="1:18" ht="16.5" customHeight="1">
      <c r="A131" s="281"/>
      <c r="B131" s="1009" t="s">
        <v>361</v>
      </c>
      <c r="C131" s="1009"/>
      <c r="D131" s="1009"/>
      <c r="E131" s="1009"/>
      <c r="F131" s="1009"/>
      <c r="G131" s="1009"/>
      <c r="H131" s="1009"/>
      <c r="I131" s="1009"/>
      <c r="J131" s="1009"/>
      <c r="K131" s="190"/>
      <c r="L131" s="187"/>
      <c r="M131" s="190"/>
      <c r="N131" s="213"/>
      <c r="O131" s="294"/>
      <c r="P131" s="200"/>
      <c r="Q131" s="200"/>
      <c r="R131" s="531"/>
    </row>
    <row r="132" spans="1:18" ht="21" customHeight="1">
      <c r="A132" s="445"/>
      <c r="B132" s="1001" t="s">
        <v>411</v>
      </c>
      <c r="C132" s="1001"/>
      <c r="D132" s="1001"/>
      <c r="E132" s="1001"/>
      <c r="F132" s="357"/>
      <c r="G132" s="263"/>
      <c r="H132" s="357"/>
      <c r="I132" s="263"/>
      <c r="J132" s="358"/>
      <c r="K132" s="263"/>
      <c r="L132" s="358"/>
      <c r="M132" s="260"/>
      <c r="N132" s="359"/>
      <c r="O132" s="244"/>
      <c r="P132" s="182"/>
      <c r="Q132" s="182"/>
      <c r="R132" s="527"/>
    </row>
    <row r="133" spans="1:18" ht="17.25" customHeight="1">
      <c r="A133" s="487"/>
      <c r="B133" s="505" t="s">
        <v>416</v>
      </c>
      <c r="C133" s="451"/>
      <c r="D133" s="451"/>
      <c r="E133" s="451"/>
      <c r="F133" s="357">
        <f>F7</f>
        <v>38</v>
      </c>
      <c r="G133" s="263" t="s">
        <v>1</v>
      </c>
      <c r="H133" s="357">
        <v>4</v>
      </c>
      <c r="I133" s="263" t="s">
        <v>1</v>
      </c>
      <c r="J133" s="358">
        <v>0.45</v>
      </c>
      <c r="K133" s="263" t="s">
        <v>1</v>
      </c>
      <c r="L133" s="358">
        <v>1.5</v>
      </c>
      <c r="M133" s="260" t="s">
        <v>0</v>
      </c>
      <c r="N133" s="359">
        <f t="shared" ref="N133" si="8">L133*J133*H133*F133</f>
        <v>102.60000000000001</v>
      </c>
      <c r="O133" s="244" t="s">
        <v>420</v>
      </c>
      <c r="P133" s="184"/>
      <c r="Q133" s="197"/>
      <c r="R133" s="530"/>
    </row>
    <row r="134" spans="1:18" ht="19.5" customHeight="1">
      <c r="A134" s="281"/>
      <c r="B134" s="1009" t="s">
        <v>378</v>
      </c>
      <c r="C134" s="1009"/>
      <c r="D134" s="1009"/>
      <c r="E134" s="1009"/>
      <c r="F134" s="1009"/>
      <c r="G134" s="1009"/>
      <c r="H134" s="1009"/>
      <c r="I134" s="1009"/>
      <c r="J134" s="1009"/>
      <c r="K134" s="190"/>
      <c r="L134" s="187"/>
      <c r="M134" s="190"/>
      <c r="N134" s="213"/>
      <c r="O134" s="294"/>
      <c r="P134" s="200"/>
      <c r="Q134" s="200"/>
      <c r="R134" s="531"/>
    </row>
    <row r="135" spans="1:18" ht="21" customHeight="1">
      <c r="A135" s="445"/>
      <c r="B135" s="1001" t="s">
        <v>411</v>
      </c>
      <c r="C135" s="1001"/>
      <c r="D135" s="1001"/>
      <c r="E135" s="1001"/>
      <c r="F135" s="357"/>
      <c r="G135" s="263"/>
      <c r="H135" s="357"/>
      <c r="I135" s="263"/>
      <c r="J135" s="358"/>
      <c r="K135" s="263"/>
      <c r="L135" s="358"/>
      <c r="M135" s="260"/>
      <c r="N135" s="359"/>
      <c r="O135" s="244"/>
      <c r="P135" s="182"/>
      <c r="Q135" s="182"/>
      <c r="R135" s="527"/>
    </row>
    <row r="136" spans="1:18" ht="17.25" customHeight="1">
      <c r="A136" s="487"/>
      <c r="B136" s="505" t="s">
        <v>416</v>
      </c>
      <c r="C136" s="451"/>
      <c r="D136" s="357"/>
      <c r="E136" s="263"/>
      <c r="F136" s="357">
        <f>F133</f>
        <v>38</v>
      </c>
      <c r="G136" s="263" t="s">
        <v>1</v>
      </c>
      <c r="H136" s="357">
        <v>4</v>
      </c>
      <c r="I136" s="263" t="s">
        <v>1</v>
      </c>
      <c r="J136" s="358">
        <v>0.3</v>
      </c>
      <c r="K136" s="263" t="s">
        <v>1</v>
      </c>
      <c r="L136" s="358">
        <v>3</v>
      </c>
      <c r="M136" s="260" t="s">
        <v>0</v>
      </c>
      <c r="N136" s="359">
        <f t="shared" ref="N136:N139" si="9">L136*J136*H136*F136</f>
        <v>136.79999999999998</v>
      </c>
      <c r="O136" s="244" t="s">
        <v>420</v>
      </c>
      <c r="P136" s="184"/>
      <c r="Q136" s="197"/>
      <c r="R136" s="530"/>
    </row>
    <row r="137" spans="1:18" ht="17.25" customHeight="1">
      <c r="A137" s="487"/>
      <c r="B137" s="1001" t="s">
        <v>510</v>
      </c>
      <c r="C137" s="1001"/>
      <c r="D137" s="1001"/>
      <c r="E137" s="1001"/>
      <c r="F137" s="263">
        <v>1</v>
      </c>
      <c r="G137" s="263" t="s">
        <v>1</v>
      </c>
      <c r="H137" s="357">
        <v>2</v>
      </c>
      <c r="I137" s="263" t="s">
        <v>1</v>
      </c>
      <c r="J137" s="358">
        <v>0.25</v>
      </c>
      <c r="K137" s="263" t="s">
        <v>1</v>
      </c>
      <c r="L137" s="358">
        <f>H8</f>
        <v>257.7</v>
      </c>
      <c r="M137" s="294" t="s">
        <v>0</v>
      </c>
      <c r="N137" s="359">
        <f t="shared" ref="N137" si="10">L137*J137*H137*F137</f>
        <v>128.85</v>
      </c>
      <c r="O137" s="244" t="s">
        <v>420</v>
      </c>
      <c r="P137" s="184"/>
      <c r="Q137" s="197"/>
      <c r="R137" s="530"/>
    </row>
    <row r="138" spans="1:18" ht="33.75" customHeight="1">
      <c r="A138" s="445"/>
      <c r="B138" s="1001" t="s">
        <v>412</v>
      </c>
      <c r="C138" s="1001"/>
      <c r="D138" s="1001"/>
      <c r="E138" s="1001"/>
      <c r="F138" s="263">
        <v>1</v>
      </c>
      <c r="G138" s="263" t="s">
        <v>1</v>
      </c>
      <c r="H138" s="357">
        <v>3</v>
      </c>
      <c r="I138" s="263" t="s">
        <v>1</v>
      </c>
      <c r="J138" s="358">
        <v>0.45</v>
      </c>
      <c r="K138" s="263" t="s">
        <v>1</v>
      </c>
      <c r="L138" s="358">
        <f>L96</f>
        <v>195.2</v>
      </c>
      <c r="M138" s="294" t="s">
        <v>0</v>
      </c>
      <c r="N138" s="359">
        <f t="shared" si="9"/>
        <v>263.52</v>
      </c>
      <c r="O138" s="244" t="s">
        <v>420</v>
      </c>
      <c r="P138" s="182"/>
      <c r="Q138" s="182"/>
      <c r="R138" s="527"/>
    </row>
    <row r="139" spans="1:18" ht="18.75" customHeight="1">
      <c r="A139" s="445"/>
      <c r="B139" s="348"/>
      <c r="C139" s="348"/>
      <c r="D139" s="348"/>
      <c r="E139" s="348"/>
      <c r="F139" s="342">
        <v>1</v>
      </c>
      <c r="G139" s="342" t="s">
        <v>1</v>
      </c>
      <c r="H139" s="203">
        <v>3</v>
      </c>
      <c r="I139" s="342" t="s">
        <v>1</v>
      </c>
      <c r="J139" s="186">
        <v>0.5</v>
      </c>
      <c r="K139" s="342" t="s">
        <v>1</v>
      </c>
      <c r="L139" s="186">
        <f>L107</f>
        <v>43.5</v>
      </c>
      <c r="M139" s="343" t="s">
        <v>0</v>
      </c>
      <c r="N139" s="199">
        <f t="shared" si="9"/>
        <v>65.25</v>
      </c>
      <c r="O139" s="234" t="s">
        <v>420</v>
      </c>
      <c r="P139" s="182"/>
      <c r="Q139" s="182"/>
      <c r="R139" s="527"/>
    </row>
    <row r="140" spans="1:18" ht="17.25">
      <c r="B140" s="185"/>
      <c r="C140" s="185"/>
      <c r="D140" s="185"/>
      <c r="E140" s="185"/>
      <c r="F140" s="185"/>
      <c r="G140" s="185"/>
      <c r="H140" s="185"/>
      <c r="I140" s="185"/>
      <c r="J140" s="185"/>
      <c r="K140" s="1012" t="s">
        <v>8</v>
      </c>
      <c r="L140" s="1012"/>
      <c r="M140" s="228" t="s">
        <v>0</v>
      </c>
      <c r="N140" s="235">
        <f>SUM(N133:N139)</f>
        <v>697.02</v>
      </c>
      <c r="O140" s="360" t="s">
        <v>420</v>
      </c>
      <c r="P140" s="185"/>
      <c r="Q140" s="185"/>
    </row>
    <row r="141" spans="1:18" ht="21" customHeight="1">
      <c r="A141" s="445"/>
      <c r="B141" s="182"/>
      <c r="C141" s="182"/>
      <c r="D141" s="182"/>
      <c r="E141" s="182"/>
      <c r="F141" s="182"/>
      <c r="G141" s="182"/>
      <c r="H141" s="182"/>
      <c r="I141" s="182"/>
      <c r="J141" s="193" t="s">
        <v>350</v>
      </c>
      <c r="K141" s="344" t="s">
        <v>11</v>
      </c>
      <c r="L141" s="989">
        <v>389</v>
      </c>
      <c r="M141" s="989"/>
      <c r="N141" s="341" t="s">
        <v>421</v>
      </c>
      <c r="O141" s="294"/>
      <c r="P141" s="190" t="s">
        <v>0</v>
      </c>
      <c r="Q141" s="205" t="s">
        <v>11</v>
      </c>
      <c r="R141" s="521">
        <f>ROUND(N140*L141,0)</f>
        <v>271141</v>
      </c>
    </row>
    <row r="142" spans="1:18" ht="13.5" customHeight="1">
      <c r="A142" s="445"/>
      <c r="B142" s="182"/>
      <c r="C142" s="182"/>
      <c r="D142" s="182"/>
      <c r="E142" s="182"/>
      <c r="F142" s="182"/>
      <c r="G142" s="182"/>
      <c r="H142" s="182"/>
      <c r="I142" s="182"/>
      <c r="J142" s="193"/>
      <c r="K142" s="363"/>
      <c r="L142" s="363"/>
      <c r="M142" s="363"/>
      <c r="N142" s="365"/>
      <c r="O142" s="294"/>
      <c r="P142" s="190"/>
      <c r="Q142" s="205"/>
      <c r="R142" s="521"/>
    </row>
    <row r="143" spans="1:18" ht="78.75" customHeight="1">
      <c r="A143" s="487" t="s">
        <v>434</v>
      </c>
      <c r="B143" s="999" t="s">
        <v>465</v>
      </c>
      <c r="C143" s="999"/>
      <c r="D143" s="999"/>
      <c r="E143" s="999"/>
      <c r="F143" s="999"/>
      <c r="G143" s="999"/>
      <c r="H143" s="999"/>
      <c r="I143" s="999"/>
      <c r="J143" s="999"/>
      <c r="K143" s="999"/>
      <c r="L143" s="999"/>
      <c r="M143" s="999"/>
      <c r="N143" s="999"/>
      <c r="O143" s="999"/>
      <c r="P143" s="200"/>
      <c r="Q143" s="200"/>
      <c r="R143" s="531"/>
    </row>
    <row r="144" spans="1:18" ht="16.5" customHeight="1">
      <c r="A144" s="281"/>
      <c r="B144" s="1009" t="s">
        <v>361</v>
      </c>
      <c r="C144" s="1009"/>
      <c r="D144" s="1009"/>
      <c r="E144" s="1009"/>
      <c r="F144" s="1009"/>
      <c r="G144" s="1009"/>
      <c r="H144" s="1009"/>
      <c r="I144" s="1009"/>
      <c r="J144" s="1009"/>
      <c r="K144" s="190"/>
      <c r="L144" s="187"/>
      <c r="M144" s="190"/>
      <c r="N144" s="213"/>
      <c r="O144" s="294"/>
      <c r="P144" s="200"/>
      <c r="Q144" s="200"/>
      <c r="R144" s="531"/>
    </row>
    <row r="145" spans="1:18" ht="13.5" customHeight="1">
      <c r="A145" s="445"/>
      <c r="B145" s="1001" t="s">
        <v>411</v>
      </c>
      <c r="C145" s="1001"/>
      <c r="D145" s="1001"/>
      <c r="E145" s="1001"/>
      <c r="F145" s="357"/>
      <c r="G145" s="263"/>
      <c r="H145" s="357"/>
      <c r="I145" s="263"/>
      <c r="J145" s="358"/>
      <c r="K145" s="263"/>
      <c r="L145" s="358"/>
      <c r="M145" s="260"/>
      <c r="N145" s="359"/>
      <c r="O145" s="244"/>
      <c r="P145" s="182"/>
      <c r="Q145" s="182"/>
      <c r="R145" s="527"/>
    </row>
    <row r="146" spans="1:18" ht="17.25" customHeight="1">
      <c r="A146" s="487"/>
      <c r="B146" s="451" t="s">
        <v>505</v>
      </c>
      <c r="C146" s="451"/>
      <c r="D146" s="451"/>
      <c r="E146" s="451"/>
      <c r="F146" s="357">
        <f>F133</f>
        <v>38</v>
      </c>
      <c r="G146" s="263" t="s">
        <v>1</v>
      </c>
      <c r="H146" s="358">
        <f>J133</f>
        <v>0.45</v>
      </c>
      <c r="I146" s="263" t="s">
        <v>1</v>
      </c>
      <c r="J146" s="358">
        <f>H146</f>
        <v>0.45</v>
      </c>
      <c r="K146" s="263" t="s">
        <v>1</v>
      </c>
      <c r="L146" s="358">
        <v>1.5</v>
      </c>
      <c r="M146" s="260" t="s">
        <v>0</v>
      </c>
      <c r="N146" s="359">
        <f t="shared" ref="N146" si="11">L146*J146*H146*F146</f>
        <v>11.5425</v>
      </c>
      <c r="O146" s="294" t="s">
        <v>418</v>
      </c>
      <c r="P146" s="184"/>
      <c r="Q146" s="197"/>
      <c r="R146" s="530"/>
    </row>
    <row r="147" spans="1:18" ht="19.5" customHeight="1">
      <c r="A147" s="281"/>
      <c r="B147" s="1009" t="s">
        <v>378</v>
      </c>
      <c r="C147" s="1009"/>
      <c r="D147" s="1009"/>
      <c r="E147" s="1009"/>
      <c r="F147" s="1009"/>
      <c r="G147" s="1009"/>
      <c r="H147" s="1009"/>
      <c r="I147" s="1009"/>
      <c r="J147" s="1009"/>
      <c r="K147" s="190"/>
      <c r="L147" s="187"/>
      <c r="M147" s="190"/>
      <c r="N147" s="213"/>
      <c r="O147" s="294"/>
      <c r="P147" s="200"/>
      <c r="Q147" s="200"/>
      <c r="R147" s="531"/>
    </row>
    <row r="148" spans="1:18" ht="14.25" customHeight="1">
      <c r="A148" s="445"/>
      <c r="B148" s="1001" t="s">
        <v>411</v>
      </c>
      <c r="C148" s="1001"/>
      <c r="D148" s="1001"/>
      <c r="E148" s="1001"/>
      <c r="F148" s="357"/>
      <c r="G148" s="263"/>
      <c r="H148" s="357"/>
      <c r="I148" s="263"/>
      <c r="J148" s="358"/>
      <c r="K148" s="263"/>
      <c r="L148" s="358"/>
      <c r="M148" s="260"/>
      <c r="N148" s="359"/>
      <c r="O148" s="244"/>
      <c r="P148" s="182"/>
      <c r="Q148" s="182"/>
      <c r="R148" s="527"/>
    </row>
    <row r="149" spans="1:18" ht="17.25" customHeight="1">
      <c r="A149" s="487"/>
      <c r="B149" s="451" t="s">
        <v>416</v>
      </c>
      <c r="C149" s="451"/>
      <c r="D149" s="357"/>
      <c r="E149" s="263"/>
      <c r="F149" s="357">
        <f>F146</f>
        <v>38</v>
      </c>
      <c r="G149" s="263" t="s">
        <v>1</v>
      </c>
      <c r="H149" s="358">
        <v>0.35</v>
      </c>
      <c r="I149" s="263" t="s">
        <v>1</v>
      </c>
      <c r="J149" s="358">
        <f>H149</f>
        <v>0.35</v>
      </c>
      <c r="K149" s="263" t="s">
        <v>1</v>
      </c>
      <c r="L149" s="358">
        <v>3.5</v>
      </c>
      <c r="M149" s="260" t="s">
        <v>0</v>
      </c>
      <c r="N149" s="359">
        <f>L149*J149*H149*F149</f>
        <v>16.292499999999997</v>
      </c>
      <c r="O149" s="294" t="s">
        <v>418</v>
      </c>
      <c r="P149" s="184"/>
      <c r="Q149" s="197"/>
      <c r="R149" s="530"/>
    </row>
    <row r="150" spans="1:18" ht="17.25" customHeight="1">
      <c r="A150" s="487"/>
      <c r="B150" s="211" t="s">
        <v>493</v>
      </c>
      <c r="C150" s="462"/>
      <c r="F150" s="461"/>
      <c r="G150" s="462"/>
      <c r="H150" s="456"/>
      <c r="I150" s="462"/>
      <c r="J150" s="456"/>
      <c r="K150" s="462"/>
      <c r="L150" s="456"/>
      <c r="M150" s="457"/>
      <c r="N150" s="167"/>
      <c r="O150" s="164"/>
      <c r="P150" s="184"/>
      <c r="Q150" s="197"/>
      <c r="R150" s="530"/>
    </row>
    <row r="151" spans="1:18" ht="17.25" customHeight="1">
      <c r="A151" s="487"/>
      <c r="B151" s="481"/>
      <c r="D151" s="483">
        <f>F146</f>
        <v>38</v>
      </c>
      <c r="E151" s="157" t="s">
        <v>1</v>
      </c>
      <c r="F151" s="256">
        <f>H7</f>
        <v>2.1</v>
      </c>
      <c r="G151" s="462" t="s">
        <v>1</v>
      </c>
      <c r="H151" s="456">
        <f>F151*1</f>
        <v>2.1</v>
      </c>
      <c r="I151" s="462" t="s">
        <v>1</v>
      </c>
      <c r="J151" s="482">
        <v>0.25</v>
      </c>
      <c r="K151" s="458" t="s">
        <v>14</v>
      </c>
      <c r="L151" s="482">
        <v>0.6</v>
      </c>
      <c r="M151" s="457" t="s">
        <v>0</v>
      </c>
      <c r="N151" s="1071">
        <f>D151*F151*H151*(J151+L151)/K152</f>
        <v>71.221500000000006</v>
      </c>
      <c r="O151" s="1072" t="s">
        <v>502</v>
      </c>
      <c r="P151" s="184"/>
      <c r="Q151" s="197"/>
      <c r="R151" s="530"/>
    </row>
    <row r="152" spans="1:18" ht="17.25" customHeight="1">
      <c r="A152" s="487"/>
      <c r="B152" s="481"/>
      <c r="F152" s="462"/>
      <c r="G152" s="462"/>
      <c r="H152" s="456"/>
      <c r="I152" s="462"/>
      <c r="J152" s="456"/>
      <c r="K152" s="462">
        <v>2</v>
      </c>
      <c r="L152" s="456"/>
      <c r="M152" s="457"/>
      <c r="N152" s="1071"/>
      <c r="O152" s="1072"/>
      <c r="P152" s="184"/>
      <c r="Q152" s="197"/>
      <c r="R152" s="530"/>
    </row>
    <row r="153" spans="1:18" ht="17.25" customHeight="1">
      <c r="A153" s="496"/>
      <c r="B153" s="481"/>
      <c r="F153" s="473"/>
      <c r="G153" s="473"/>
      <c r="H153" s="456"/>
      <c r="I153" s="473"/>
      <c r="J153" s="456"/>
      <c r="K153" s="473"/>
      <c r="L153" s="456"/>
      <c r="M153" s="484"/>
      <c r="N153" s="485"/>
      <c r="O153" s="486"/>
      <c r="P153" s="200"/>
      <c r="Q153" s="200"/>
      <c r="R153" s="531"/>
    </row>
    <row r="154" spans="1:18" ht="17.25" customHeight="1">
      <c r="A154" s="518"/>
      <c r="B154" s="481"/>
      <c r="F154" s="517"/>
      <c r="G154" s="517"/>
      <c r="H154" s="456"/>
      <c r="I154" s="517"/>
      <c r="J154" s="456"/>
      <c r="K154" s="517"/>
      <c r="L154" s="456"/>
      <c r="M154" s="484"/>
      <c r="N154" s="519"/>
      <c r="O154" s="520"/>
      <c r="P154" s="200"/>
      <c r="Q154" s="200"/>
      <c r="R154" s="531"/>
    </row>
    <row r="155" spans="1:18" ht="17.25" customHeight="1">
      <c r="A155" s="518"/>
      <c r="B155" s="481"/>
      <c r="F155" s="517"/>
      <c r="G155" s="517"/>
      <c r="H155" s="456"/>
      <c r="I155" s="517"/>
      <c r="J155" s="456"/>
      <c r="K155" s="517"/>
      <c r="L155" s="456"/>
      <c r="M155" s="484"/>
      <c r="N155" s="519"/>
      <c r="O155" s="520"/>
      <c r="P155" s="200"/>
      <c r="Q155" s="200"/>
      <c r="R155" s="531"/>
    </row>
    <row r="156" spans="1:18" ht="17.25" customHeight="1">
      <c r="A156" s="518"/>
      <c r="B156" s="481"/>
      <c r="F156" s="517"/>
      <c r="G156" s="517"/>
      <c r="H156" s="456"/>
      <c r="I156" s="517"/>
      <c r="J156" s="456"/>
      <c r="K156" s="517"/>
      <c r="L156" s="456"/>
      <c r="M156" s="484"/>
      <c r="N156" s="519"/>
      <c r="O156" s="520"/>
      <c r="P156" s="200"/>
      <c r="Q156" s="200"/>
      <c r="R156" s="531"/>
    </row>
    <row r="157" spans="1:18" ht="17.25" customHeight="1">
      <c r="A157" s="518"/>
      <c r="B157" s="481"/>
      <c r="F157" s="517"/>
      <c r="G157" s="517"/>
      <c r="H157" s="456"/>
      <c r="I157" s="517"/>
      <c r="J157" s="456"/>
      <c r="K157" s="517"/>
      <c r="L157" s="456"/>
      <c r="M157" s="484"/>
      <c r="N157" s="519"/>
      <c r="O157" s="520"/>
      <c r="P157" s="200"/>
      <c r="Q157" s="200"/>
      <c r="R157" s="531"/>
    </row>
    <row r="158" spans="1:18" ht="17.25" customHeight="1">
      <c r="A158" s="518"/>
      <c r="B158" s="481"/>
      <c r="F158" s="517"/>
      <c r="G158" s="517"/>
      <c r="H158" s="456"/>
      <c r="I158" s="517"/>
      <c r="J158" s="456"/>
      <c r="K158" s="517"/>
      <c r="L158" s="456"/>
      <c r="M158" s="484"/>
      <c r="N158" s="519"/>
      <c r="O158" s="520"/>
      <c r="P158" s="200"/>
      <c r="Q158" s="200"/>
      <c r="R158" s="531"/>
    </row>
    <row r="159" spans="1:18" ht="17.25" customHeight="1">
      <c r="A159" s="518"/>
      <c r="B159" s="481"/>
      <c r="F159" s="517"/>
      <c r="G159" s="517"/>
      <c r="H159" s="456"/>
      <c r="I159" s="517"/>
      <c r="J159" s="456"/>
      <c r="K159" s="517"/>
      <c r="L159" s="456"/>
      <c r="M159" s="484"/>
      <c r="N159" s="519"/>
      <c r="O159" s="520"/>
      <c r="P159" s="200"/>
      <c r="Q159" s="200"/>
      <c r="R159" s="531"/>
    </row>
    <row r="160" spans="1:18" ht="17.25" customHeight="1">
      <c r="A160" s="518"/>
      <c r="B160" s="481"/>
      <c r="F160" s="517"/>
      <c r="G160" s="517"/>
      <c r="H160" s="456"/>
      <c r="I160" s="517"/>
      <c r="J160" s="456"/>
      <c r="K160" s="517"/>
      <c r="L160" s="456"/>
      <c r="M160" s="484"/>
      <c r="N160" s="519"/>
      <c r="O160" s="520"/>
      <c r="P160" s="200"/>
      <c r="Q160" s="200"/>
      <c r="R160" s="531"/>
    </row>
    <row r="161" spans="1:41" ht="17.25" customHeight="1">
      <c r="A161" s="518"/>
      <c r="B161" s="481"/>
      <c r="F161" s="517"/>
      <c r="G161" s="517"/>
      <c r="H161" s="456"/>
      <c r="I161" s="517"/>
      <c r="J161" s="456"/>
      <c r="K161" s="517"/>
      <c r="L161" s="456"/>
      <c r="M161" s="484"/>
      <c r="N161" s="519"/>
      <c r="O161" s="520"/>
      <c r="P161" s="200"/>
      <c r="Q161" s="200"/>
      <c r="R161" s="531"/>
    </row>
    <row r="162" spans="1:41" ht="17.25" customHeight="1">
      <c r="A162" s="518"/>
      <c r="B162" s="481"/>
      <c r="F162" s="517"/>
      <c r="G162" s="517"/>
      <c r="H162" s="456"/>
      <c r="I162" s="517"/>
      <c r="J162" s="456"/>
      <c r="K162" s="517"/>
      <c r="L162" s="456"/>
      <c r="M162" s="484"/>
      <c r="N162" s="519"/>
      <c r="O162" s="520"/>
      <c r="P162" s="200"/>
      <c r="Q162" s="200"/>
      <c r="R162" s="531"/>
    </row>
    <row r="163" spans="1:41" ht="17.25" customHeight="1">
      <c r="A163" s="518"/>
      <c r="B163" s="481"/>
      <c r="F163" s="517"/>
      <c r="G163" s="517"/>
      <c r="H163" s="456"/>
      <c r="I163" s="517"/>
      <c r="J163" s="456"/>
      <c r="K163" s="517"/>
      <c r="L163" s="456"/>
      <c r="M163" s="484"/>
      <c r="N163" s="519"/>
      <c r="O163" s="520"/>
      <c r="P163" s="200"/>
      <c r="Q163" s="200"/>
      <c r="R163" s="531"/>
    </row>
    <row r="164" spans="1:41" ht="17.25" customHeight="1">
      <c r="A164" s="518"/>
      <c r="B164" s="481"/>
      <c r="F164" s="517"/>
      <c r="G164" s="517"/>
      <c r="H164" s="456"/>
      <c r="I164" s="517"/>
      <c r="J164" s="456"/>
      <c r="K164" s="517"/>
      <c r="L164" s="456"/>
      <c r="M164" s="484"/>
      <c r="N164" s="519"/>
      <c r="O164" s="520"/>
      <c r="P164" s="200"/>
      <c r="Q164" s="200"/>
      <c r="R164" s="531"/>
    </row>
    <row r="165" spans="1:41" ht="17.25" customHeight="1">
      <c r="A165" s="496"/>
      <c r="B165" s="481"/>
      <c r="F165" s="473"/>
      <c r="G165" s="473"/>
      <c r="H165" s="456"/>
      <c r="I165" s="473"/>
      <c r="J165" s="456"/>
      <c r="K165" s="473"/>
      <c r="L165" s="456"/>
      <c r="M165" s="484"/>
      <c r="N165" s="485"/>
      <c r="O165" s="486"/>
      <c r="P165" s="200"/>
      <c r="Q165" s="200"/>
      <c r="R165" s="531"/>
    </row>
    <row r="166" spans="1:41" ht="19.5" customHeight="1">
      <c r="A166" s="281"/>
      <c r="B166" s="211"/>
      <c r="C166" s="211"/>
      <c r="D166" s="211"/>
      <c r="E166" s="211"/>
      <c r="F166" s="211"/>
      <c r="G166" s="211"/>
      <c r="H166" s="211"/>
      <c r="I166" s="211"/>
      <c r="J166" s="211"/>
      <c r="K166" s="190"/>
      <c r="L166" s="187"/>
      <c r="M166" s="190"/>
      <c r="N166" s="213"/>
      <c r="O166" s="391" t="s">
        <v>24</v>
      </c>
      <c r="P166" s="251" t="s">
        <v>0</v>
      </c>
      <c r="Q166" s="252" t="s">
        <v>11</v>
      </c>
      <c r="R166" s="392">
        <f>SUM(R128:R165)</f>
        <v>2341026</v>
      </c>
    </row>
    <row r="167" spans="1:41" ht="18" customHeight="1">
      <c r="B167" s="1010"/>
      <c r="C167" s="1010"/>
      <c r="D167" s="1010"/>
      <c r="E167" s="1010"/>
      <c r="F167" s="203"/>
      <c r="G167" s="342"/>
      <c r="H167" s="186"/>
      <c r="I167" s="342"/>
      <c r="J167" s="186"/>
      <c r="K167" s="342"/>
      <c r="L167" s="186"/>
      <c r="M167" s="190"/>
      <c r="N167" s="199"/>
      <c r="O167" s="391" t="s">
        <v>25</v>
      </c>
      <c r="P167" s="251" t="s">
        <v>0</v>
      </c>
      <c r="Q167" s="252" t="s">
        <v>11</v>
      </c>
      <c r="R167" s="392">
        <f>R166</f>
        <v>2341026</v>
      </c>
      <c r="AB167" s="396"/>
    </row>
    <row r="168" spans="1:41" ht="18" customHeight="1">
      <c r="B168" s="511"/>
      <c r="C168" s="511"/>
      <c r="D168" s="511"/>
      <c r="E168" s="511"/>
      <c r="F168" s="203"/>
      <c r="G168" s="510"/>
      <c r="H168" s="186"/>
      <c r="I168" s="510"/>
      <c r="J168" s="186"/>
      <c r="K168" s="510"/>
      <c r="L168" s="186"/>
      <c r="M168" s="190"/>
      <c r="N168" s="199"/>
      <c r="O168" s="391"/>
      <c r="P168" s="251"/>
      <c r="Q168" s="252"/>
      <c r="R168" s="392"/>
      <c r="AB168" s="396"/>
    </row>
    <row r="169" spans="1:41" ht="17.25" customHeight="1">
      <c r="B169" s="1009" t="s">
        <v>509</v>
      </c>
      <c r="C169" s="1009"/>
      <c r="D169" s="1009"/>
      <c r="E169" s="1009"/>
      <c r="F169" s="1009"/>
      <c r="G169" s="1009"/>
      <c r="H169" s="1009"/>
      <c r="I169" s="1009"/>
      <c r="J169" s="1009"/>
      <c r="K169" s="342"/>
      <c r="L169" s="186"/>
      <c r="M169" s="190"/>
      <c r="N169" s="199"/>
      <c r="O169" s="294"/>
      <c r="P169" s="185"/>
      <c r="Q169" s="185"/>
      <c r="AB169" s="396"/>
    </row>
    <row r="170" spans="1:41" ht="15" customHeight="1">
      <c r="B170" s="1009"/>
      <c r="C170" s="1009"/>
      <c r="D170" s="185"/>
      <c r="E170" s="185"/>
      <c r="F170" s="203">
        <v>1</v>
      </c>
      <c r="G170" s="342" t="s">
        <v>1</v>
      </c>
      <c r="H170" s="186">
        <f>L138</f>
        <v>195.2</v>
      </c>
      <c r="I170" s="342" t="s">
        <v>1</v>
      </c>
      <c r="J170" s="186">
        <v>0.3</v>
      </c>
      <c r="K170" s="342" t="s">
        <v>1</v>
      </c>
      <c r="L170" s="186">
        <v>0.45</v>
      </c>
      <c r="M170" s="190" t="s">
        <v>0</v>
      </c>
      <c r="N170" s="199">
        <f t="shared" ref="N170" si="12">ROUND(F170*H170*J170*L170,2)</f>
        <v>26.35</v>
      </c>
      <c r="O170" s="294" t="s">
        <v>418</v>
      </c>
      <c r="P170" s="185"/>
      <c r="Q170" s="185"/>
    </row>
    <row r="171" spans="1:41" ht="15" customHeight="1">
      <c r="B171" s="342"/>
      <c r="C171" s="342"/>
      <c r="D171" s="185"/>
      <c r="E171" s="185"/>
      <c r="F171" s="203">
        <v>1</v>
      </c>
      <c r="G171" s="342" t="s">
        <v>1</v>
      </c>
      <c r="H171" s="186">
        <f>L139</f>
        <v>43.5</v>
      </c>
      <c r="I171" s="342" t="s">
        <v>1</v>
      </c>
      <c r="J171" s="186">
        <v>0.35</v>
      </c>
      <c r="K171" s="342" t="s">
        <v>1</v>
      </c>
      <c r="L171" s="186">
        <v>0.5</v>
      </c>
      <c r="M171" s="190" t="s">
        <v>0</v>
      </c>
      <c r="N171" s="199">
        <f>ROUND(F171*H171*J171*L171,2)</f>
        <v>7.61</v>
      </c>
      <c r="O171" s="294" t="s">
        <v>418</v>
      </c>
      <c r="P171" s="185"/>
      <c r="Q171" s="185"/>
      <c r="AB171" s="474"/>
      <c r="AC171" s="475"/>
      <c r="AD171" s="43"/>
      <c r="AE171" s="43"/>
      <c r="AF171" s="476"/>
      <c r="AG171" s="475"/>
      <c r="AH171" s="477"/>
      <c r="AI171" s="475"/>
      <c r="AJ171" s="477"/>
      <c r="AK171" s="475"/>
      <c r="AL171" s="477"/>
      <c r="AM171" s="478"/>
      <c r="AN171" s="479"/>
      <c r="AO171" s="480"/>
    </row>
    <row r="172" spans="1:41" ht="15" customHeight="1">
      <c r="B172" s="185"/>
      <c r="C172" s="185"/>
      <c r="D172" s="185"/>
      <c r="E172" s="185"/>
      <c r="F172" s="185"/>
      <c r="G172" s="185"/>
      <c r="H172" s="185"/>
      <c r="I172" s="185"/>
      <c r="J172" s="185"/>
      <c r="K172" s="996" t="s">
        <v>8</v>
      </c>
      <c r="L172" s="996"/>
      <c r="M172" s="190" t="s">
        <v>0</v>
      </c>
      <c r="N172" s="235">
        <f>SUM(N146:N171)</f>
        <v>133.01650000000001</v>
      </c>
      <c r="O172" s="280" t="s">
        <v>418</v>
      </c>
      <c r="P172" s="185"/>
      <c r="Q172" s="185"/>
    </row>
    <row r="173" spans="1:41" s="369" customFormat="1" ht="21" customHeight="1">
      <c r="A173" s="445"/>
      <c r="B173" s="368"/>
      <c r="C173" s="368"/>
      <c r="D173" s="368"/>
      <c r="E173" s="368"/>
      <c r="F173" s="368"/>
      <c r="G173" s="368"/>
      <c r="H173" s="368"/>
      <c r="I173" s="368"/>
      <c r="J173" s="393" t="s">
        <v>350</v>
      </c>
      <c r="K173" s="366" t="s">
        <v>11</v>
      </c>
      <c r="L173" s="1007">
        <f>9235+93+93</f>
        <v>9421</v>
      </c>
      <c r="M173" s="1007"/>
      <c r="N173" s="394" t="s">
        <v>419</v>
      </c>
      <c r="O173" s="294"/>
      <c r="P173" s="259" t="s">
        <v>0</v>
      </c>
      <c r="Q173" s="395" t="s">
        <v>11</v>
      </c>
      <c r="R173" s="530">
        <f>ROUND(N172*L173,0)</f>
        <v>1253148</v>
      </c>
      <c r="X173" s="157"/>
    </row>
    <row r="174" spans="1:41" s="361" customFormat="1" ht="16.5" customHeight="1">
      <c r="A174" s="492"/>
      <c r="B174" s="211"/>
      <c r="C174" s="211"/>
      <c r="D174" s="211"/>
      <c r="E174" s="211"/>
      <c r="F174" s="211"/>
      <c r="G174" s="211"/>
      <c r="H174" s="211"/>
      <c r="I174" s="211"/>
      <c r="J174" s="193"/>
      <c r="K174" s="363"/>
      <c r="L174" s="363"/>
      <c r="M174" s="363"/>
      <c r="N174" s="365"/>
      <c r="R174" s="532"/>
      <c r="X174" s="369"/>
    </row>
    <row r="175" spans="1:41" s="361" customFormat="1" ht="16.5" customHeight="1">
      <c r="A175" s="492"/>
      <c r="B175" s="211"/>
      <c r="C175" s="211"/>
      <c r="D175" s="211"/>
      <c r="E175" s="211"/>
      <c r="F175" s="211"/>
      <c r="G175" s="211"/>
      <c r="H175" s="211"/>
      <c r="I175" s="211"/>
      <c r="J175" s="193"/>
      <c r="K175" s="363"/>
      <c r="L175" s="363"/>
      <c r="M175" s="363"/>
      <c r="N175" s="365"/>
      <c r="R175" s="532"/>
    </row>
    <row r="176" spans="1:41" ht="78.75" customHeight="1">
      <c r="A176" s="518" t="s">
        <v>518</v>
      </c>
      <c r="B176" s="999" t="s">
        <v>519</v>
      </c>
      <c r="C176" s="999"/>
      <c r="D176" s="999"/>
      <c r="E176" s="999"/>
      <c r="F176" s="999"/>
      <c r="G176" s="999"/>
      <c r="H176" s="999"/>
      <c r="I176" s="999"/>
      <c r="J176" s="999"/>
      <c r="K176" s="999"/>
      <c r="L176" s="999"/>
      <c r="M176" s="999"/>
      <c r="N176" s="999"/>
      <c r="O176" s="999"/>
      <c r="P176" s="184"/>
      <c r="Q176" s="197"/>
      <c r="R176" s="530"/>
      <c r="T176" s="168"/>
      <c r="X176" s="361"/>
    </row>
    <row r="177" spans="1:24" ht="18" customHeight="1">
      <c r="A177" s="518"/>
      <c r="B177" s="993" t="s">
        <v>520</v>
      </c>
      <c r="C177" s="993"/>
      <c r="D177" s="993"/>
      <c r="E177" s="505"/>
      <c r="F177" s="505"/>
      <c r="G177" s="505"/>
      <c r="H177" s="203">
        <v>6</v>
      </c>
      <c r="I177" s="510" t="s">
        <v>1</v>
      </c>
      <c r="J177" s="186">
        <v>7</v>
      </c>
      <c r="K177" s="510" t="s">
        <v>1</v>
      </c>
      <c r="L177" s="186">
        <v>11.88</v>
      </c>
      <c r="M177" s="504" t="s">
        <v>0</v>
      </c>
      <c r="N177" s="213">
        <f>L177*J177*H177/100</f>
        <v>4.9896000000000003</v>
      </c>
      <c r="O177" s="244" t="s">
        <v>521</v>
      </c>
      <c r="P177" s="184"/>
      <c r="Q177" s="197"/>
      <c r="R177" s="530"/>
      <c r="T177" s="168"/>
    </row>
    <row r="178" spans="1:24" ht="18" customHeight="1">
      <c r="A178" s="518"/>
      <c r="B178" s="503"/>
      <c r="C178" s="503"/>
      <c r="D178" s="503"/>
      <c r="E178" s="505"/>
      <c r="F178" s="505"/>
      <c r="G178" s="505"/>
      <c r="H178" s="203">
        <v>6</v>
      </c>
      <c r="I178" s="510" t="s">
        <v>1</v>
      </c>
      <c r="J178" s="186">
        <v>12.98</v>
      </c>
      <c r="K178" s="510" t="s">
        <v>1</v>
      </c>
      <c r="L178" s="186">
        <v>6.71</v>
      </c>
      <c r="M178" s="504" t="s">
        <v>0</v>
      </c>
      <c r="N178" s="213">
        <f t="shared" ref="N178:N179" si="13">L178*J178*H178/100</f>
        <v>5.2257479999999994</v>
      </c>
      <c r="O178" s="244" t="s">
        <v>521</v>
      </c>
      <c r="P178" s="184"/>
      <c r="Q178" s="197"/>
      <c r="R178" s="530"/>
      <c r="T178" s="168"/>
    </row>
    <row r="179" spans="1:24" ht="18" customHeight="1">
      <c r="A179" s="518"/>
      <c r="B179" s="503"/>
      <c r="C179" s="503"/>
      <c r="D179" s="503"/>
      <c r="E179" s="505"/>
      <c r="F179" s="505"/>
      <c r="G179" s="505"/>
      <c r="H179" s="203">
        <v>6</v>
      </c>
      <c r="I179" s="510" t="s">
        <v>1</v>
      </c>
      <c r="J179" s="186">
        <v>7.28</v>
      </c>
      <c r="K179" s="510" t="s">
        <v>1</v>
      </c>
      <c r="L179" s="186">
        <v>6.71</v>
      </c>
      <c r="M179" s="504" t="s">
        <v>0</v>
      </c>
      <c r="N179" s="213">
        <f t="shared" si="13"/>
        <v>2.9309280000000002</v>
      </c>
      <c r="O179" s="244" t="s">
        <v>521</v>
      </c>
      <c r="P179" s="184"/>
      <c r="Q179" s="197"/>
      <c r="R179" s="530"/>
      <c r="T179" s="168"/>
    </row>
    <row r="180" spans="1:24" ht="18" customHeight="1">
      <c r="A180" s="518"/>
      <c r="B180" s="503"/>
      <c r="C180" s="503"/>
      <c r="D180" s="503"/>
      <c r="E180" s="505"/>
      <c r="F180" s="509">
        <v>5</v>
      </c>
      <c r="G180" s="505" t="s">
        <v>1</v>
      </c>
      <c r="H180" s="203">
        <v>6</v>
      </c>
      <c r="I180" s="510" t="s">
        <v>1</v>
      </c>
      <c r="J180" s="186">
        <v>55.3</v>
      </c>
      <c r="K180" s="510" t="s">
        <v>1</v>
      </c>
      <c r="L180" s="534">
        <v>4.12</v>
      </c>
      <c r="M180" s="232" t="s">
        <v>0</v>
      </c>
      <c r="N180" s="213">
        <f>F180*H180*J180*L180/100</f>
        <v>68.350799999999992</v>
      </c>
      <c r="O180" s="283" t="s">
        <v>521</v>
      </c>
      <c r="P180" s="184"/>
      <c r="Q180" s="197"/>
      <c r="R180" s="530"/>
      <c r="T180" s="168"/>
    </row>
    <row r="181" spans="1:24" ht="18" customHeight="1">
      <c r="A181" s="518"/>
      <c r="B181" s="505"/>
      <c r="C181" s="505"/>
      <c r="D181" s="505"/>
      <c r="E181" s="505"/>
      <c r="F181" s="505"/>
      <c r="G181" s="505"/>
      <c r="H181" s="505"/>
      <c r="I181" s="505"/>
      <c r="J181" s="505"/>
      <c r="K181" s="996" t="s">
        <v>8</v>
      </c>
      <c r="L181" s="996"/>
      <c r="M181" s="190" t="s">
        <v>0</v>
      </c>
      <c r="N181" s="204">
        <f>SUM(N177:N180)</f>
        <v>81.497075999999993</v>
      </c>
      <c r="O181" s="265" t="s">
        <v>521</v>
      </c>
      <c r="P181" s="184"/>
      <c r="Q181" s="197"/>
      <c r="R181" s="530"/>
      <c r="T181" s="168"/>
    </row>
    <row r="182" spans="1:24" ht="18" customHeight="1">
      <c r="A182" s="518"/>
      <c r="B182" s="505"/>
      <c r="C182" s="505"/>
      <c r="D182" s="505"/>
      <c r="E182" s="505"/>
      <c r="F182" s="505"/>
      <c r="G182" s="505"/>
      <c r="H182" s="993" t="s">
        <v>522</v>
      </c>
      <c r="I182" s="993"/>
      <c r="J182" s="993"/>
      <c r="K182" s="993"/>
      <c r="L182" s="993"/>
      <c r="M182" s="504" t="s">
        <v>0</v>
      </c>
      <c r="N182" s="204">
        <f>N181*0.15</f>
        <v>12.224561399999999</v>
      </c>
      <c r="O182" s="244"/>
      <c r="P182" s="184"/>
      <c r="Q182" s="197"/>
      <c r="R182" s="530"/>
      <c r="T182" s="168"/>
    </row>
    <row r="183" spans="1:24" ht="33.75" customHeight="1">
      <c r="A183" s="518"/>
      <c r="B183" s="505"/>
      <c r="C183" s="505"/>
      <c r="D183" s="505"/>
      <c r="E183" s="505"/>
      <c r="F183" s="505"/>
      <c r="G183" s="505"/>
      <c r="H183" s="993" t="s">
        <v>523</v>
      </c>
      <c r="I183" s="993"/>
      <c r="J183" s="993"/>
      <c r="K183" s="993"/>
      <c r="L183" s="993"/>
      <c r="M183" s="190"/>
      <c r="N183" s="204">
        <f>N181*0.05</f>
        <v>4.0748537999999996</v>
      </c>
      <c r="O183" s="244"/>
      <c r="P183" s="184"/>
      <c r="Q183" s="197"/>
      <c r="R183" s="530"/>
      <c r="T183" s="168"/>
    </row>
    <row r="184" spans="1:24" ht="18" customHeight="1">
      <c r="A184" s="518"/>
      <c r="B184" s="185"/>
      <c r="C184" s="185"/>
      <c r="D184" s="185"/>
      <c r="E184" s="185"/>
      <c r="F184" s="185"/>
      <c r="G184" s="185"/>
      <c r="H184" s="185"/>
      <c r="I184" s="185"/>
      <c r="J184" s="185"/>
      <c r="K184" s="1012" t="s">
        <v>8</v>
      </c>
      <c r="L184" s="1012"/>
      <c r="M184" s="228" t="s">
        <v>0</v>
      </c>
      <c r="N184" s="235">
        <f>SUM(N181:N183)</f>
        <v>97.796491199999991</v>
      </c>
      <c r="O184" s="360" t="s">
        <v>521</v>
      </c>
      <c r="P184" s="184"/>
      <c r="Q184" s="197"/>
      <c r="R184" s="530"/>
      <c r="T184" s="168"/>
    </row>
    <row r="185" spans="1:24" ht="18" customHeight="1">
      <c r="A185" s="518"/>
      <c r="B185" s="211"/>
      <c r="C185" s="211"/>
      <c r="D185" s="211"/>
      <c r="E185" s="211"/>
      <c r="F185" s="211"/>
      <c r="G185" s="211"/>
      <c r="H185" s="211"/>
      <c r="I185" s="190"/>
      <c r="J185" s="236"/>
      <c r="K185" s="510"/>
      <c r="L185" s="233" t="s">
        <v>8</v>
      </c>
      <c r="M185" s="504" t="s">
        <v>0</v>
      </c>
      <c r="N185" s="199">
        <f>N184</f>
        <v>97.796491199999991</v>
      </c>
      <c r="O185" s="244" t="s">
        <v>521</v>
      </c>
      <c r="P185" s="200"/>
      <c r="Q185" s="185"/>
      <c r="T185" s="168"/>
    </row>
    <row r="186" spans="1:24" s="361" customFormat="1" ht="16.5" customHeight="1">
      <c r="A186" s="492"/>
      <c r="B186" s="185"/>
      <c r="C186" s="185"/>
      <c r="D186" s="185"/>
      <c r="E186" s="182"/>
      <c r="F186" s="182"/>
      <c r="G186" s="182"/>
      <c r="H186" s="182"/>
      <c r="I186" s="182"/>
      <c r="J186" s="193" t="s">
        <v>350</v>
      </c>
      <c r="K186" s="502" t="s">
        <v>11</v>
      </c>
      <c r="L186" s="989">
        <v>11652</v>
      </c>
      <c r="M186" s="989"/>
      <c r="N186" s="513" t="s">
        <v>524</v>
      </c>
      <c r="O186" s="294"/>
      <c r="P186" s="190" t="s">
        <v>0</v>
      </c>
      <c r="Q186" s="205" t="s">
        <v>11</v>
      </c>
      <c r="R186" s="521">
        <f>L186*N185</f>
        <v>1139524.7154623999</v>
      </c>
      <c r="X186" s="157"/>
    </row>
    <row r="187" spans="1:24" s="361" customFormat="1" ht="16.5" customHeight="1">
      <c r="A187" s="492"/>
      <c r="B187" s="185"/>
      <c r="C187" s="185"/>
      <c r="D187" s="185"/>
      <c r="E187" s="182"/>
      <c r="F187" s="182"/>
      <c r="G187" s="182"/>
      <c r="H187" s="182"/>
      <c r="I187" s="182"/>
      <c r="J187" s="193"/>
      <c r="K187" s="502"/>
      <c r="L187" s="502"/>
      <c r="M187" s="502"/>
      <c r="N187" s="513"/>
      <c r="O187" s="294"/>
      <c r="P187" s="190"/>
      <c r="Q187" s="205"/>
      <c r="R187" s="521"/>
    </row>
    <row r="188" spans="1:24" ht="192.75" customHeight="1">
      <c r="A188" s="541" t="s">
        <v>536</v>
      </c>
      <c r="B188" s="1008" t="s">
        <v>535</v>
      </c>
      <c r="C188" s="1008"/>
      <c r="D188" s="1008"/>
      <c r="E188" s="1008"/>
      <c r="F188" s="1008"/>
      <c r="G188" s="1008"/>
      <c r="H188" s="1008"/>
      <c r="I188" s="1008"/>
      <c r="J188" s="1008"/>
      <c r="K188" s="1008"/>
      <c r="L188" s="1008"/>
      <c r="M188" s="1008"/>
      <c r="N188" s="1008"/>
      <c r="O188" s="1008"/>
      <c r="P188" s="184"/>
      <c r="Q188" s="197"/>
      <c r="R188" s="530"/>
      <c r="T188" s="168"/>
      <c r="X188" s="361"/>
    </row>
    <row r="189" spans="1:24" s="361" customFormat="1" ht="16.5" customHeight="1">
      <c r="A189" s="492"/>
      <c r="B189" s="185"/>
      <c r="C189" s="185"/>
      <c r="D189" s="185"/>
      <c r="E189" s="182"/>
      <c r="F189" s="182"/>
      <c r="G189" s="182"/>
      <c r="H189" s="182"/>
      <c r="I189" s="182"/>
      <c r="J189" s="193"/>
      <c r="K189" s="502"/>
      <c r="L189" s="502"/>
      <c r="M189" s="502"/>
      <c r="N189" s="513"/>
      <c r="O189" s="294"/>
      <c r="P189" s="190"/>
      <c r="Q189" s="205"/>
      <c r="R189" s="521"/>
      <c r="X189" s="157"/>
    </row>
    <row r="190" spans="1:24" s="361" customFormat="1" ht="16.5" customHeight="1">
      <c r="A190" s="492"/>
      <c r="B190" s="185" t="s">
        <v>525</v>
      </c>
      <c r="C190" s="1002" t="s">
        <v>526</v>
      </c>
      <c r="D190" s="1002"/>
      <c r="E190" s="1002"/>
      <c r="F190" s="1002"/>
      <c r="G190" s="1002"/>
      <c r="H190" s="1002"/>
      <c r="I190" s="182"/>
      <c r="J190" s="193"/>
      <c r="K190" s="502"/>
      <c r="L190" s="502"/>
      <c r="M190" s="502"/>
      <c r="N190" s="513"/>
      <c r="O190" s="294"/>
      <c r="P190" s="190"/>
      <c r="Q190" s="205"/>
      <c r="R190" s="521"/>
    </row>
    <row r="191" spans="1:24" ht="18" customHeight="1">
      <c r="A191" s="518"/>
      <c r="B191" s="503"/>
      <c r="C191" s="503"/>
      <c r="D191" s="503"/>
      <c r="E191" s="505"/>
      <c r="F191" s="509">
        <v>1</v>
      </c>
      <c r="G191" s="505" t="s">
        <v>1</v>
      </c>
      <c r="H191" s="203">
        <v>1</v>
      </c>
      <c r="I191" s="510" t="s">
        <v>1</v>
      </c>
      <c r="J191" s="186">
        <v>11</v>
      </c>
      <c r="K191" s="510" t="s">
        <v>1</v>
      </c>
      <c r="L191" s="534">
        <v>55.55</v>
      </c>
      <c r="M191" s="232" t="s">
        <v>0</v>
      </c>
      <c r="N191" s="189">
        <f>F191*H191*J191*L191</f>
        <v>611.04999999999995</v>
      </c>
      <c r="O191" s="283" t="s">
        <v>528</v>
      </c>
      <c r="P191" s="184"/>
      <c r="Q191" s="197"/>
      <c r="R191" s="530"/>
      <c r="T191" s="168"/>
      <c r="X191" s="361"/>
    </row>
    <row r="192" spans="1:24" ht="18" customHeight="1">
      <c r="A192" s="518"/>
      <c r="B192" s="505"/>
      <c r="C192" s="505"/>
      <c r="D192" s="505"/>
      <c r="E192" s="505"/>
      <c r="F192" s="505"/>
      <c r="G192" s="505"/>
      <c r="H192" s="505"/>
      <c r="I192" s="505"/>
      <c r="J192" s="505"/>
      <c r="K192" s="996" t="s">
        <v>8</v>
      </c>
      <c r="L192" s="996"/>
      <c r="M192" s="190" t="s">
        <v>0</v>
      </c>
      <c r="N192" s="204">
        <f>SUM(N188:N191)</f>
        <v>611.04999999999995</v>
      </c>
      <c r="O192" s="265" t="s">
        <v>528</v>
      </c>
      <c r="P192" s="184"/>
      <c r="Q192" s="197"/>
      <c r="R192" s="530"/>
      <c r="T192" s="168"/>
    </row>
    <row r="193" spans="1:24" ht="18" customHeight="1">
      <c r="A193" s="518"/>
      <c r="B193" s="211"/>
      <c r="C193" s="211"/>
      <c r="D193" s="211"/>
      <c r="E193" s="211"/>
      <c r="F193" s="211"/>
      <c r="G193" s="211"/>
      <c r="H193" s="211"/>
      <c r="I193" s="190"/>
      <c r="J193" s="236"/>
      <c r="K193" s="510"/>
      <c r="L193" s="233" t="s">
        <v>8</v>
      </c>
      <c r="M193" s="504" t="s">
        <v>0</v>
      </c>
      <c r="N193" s="199">
        <f>N192</f>
        <v>611.04999999999995</v>
      </c>
      <c r="O193" s="244" t="s">
        <v>528</v>
      </c>
      <c r="P193" s="200"/>
      <c r="Q193" s="185"/>
      <c r="T193" s="168"/>
    </row>
    <row r="194" spans="1:24" s="361" customFormat="1" ht="16.5" customHeight="1">
      <c r="A194" s="492"/>
      <c r="B194" s="185"/>
      <c r="C194" s="185"/>
      <c r="D194" s="185"/>
      <c r="E194" s="182"/>
      <c r="F194" s="182"/>
      <c r="G194" s="182"/>
      <c r="H194" s="182"/>
      <c r="I194" s="182"/>
      <c r="J194" s="193" t="s">
        <v>350</v>
      </c>
      <c r="K194" s="502" t="s">
        <v>11</v>
      </c>
      <c r="L194" s="989">
        <v>1189</v>
      </c>
      <c r="M194" s="989"/>
      <c r="N194" s="513" t="s">
        <v>527</v>
      </c>
      <c r="O194" s="294"/>
      <c r="P194" s="190" t="s">
        <v>0</v>
      </c>
      <c r="Q194" s="205" t="s">
        <v>11</v>
      </c>
      <c r="R194" s="521">
        <f>L194*N193</f>
        <v>726538.45</v>
      </c>
      <c r="X194" s="157"/>
    </row>
    <row r="195" spans="1:24" s="361" customFormat="1" ht="16.5" customHeight="1">
      <c r="A195" s="492"/>
      <c r="B195" s="185"/>
      <c r="C195" s="185"/>
      <c r="D195" s="185"/>
      <c r="E195" s="182"/>
      <c r="F195" s="182"/>
      <c r="G195" s="182"/>
      <c r="H195" s="182"/>
      <c r="I195" s="182"/>
      <c r="J195" s="193"/>
      <c r="K195" s="502"/>
      <c r="L195" s="502"/>
      <c r="M195" s="502"/>
      <c r="N195" s="513"/>
      <c r="O195" s="294"/>
      <c r="P195" s="190"/>
      <c r="Q195" s="205"/>
      <c r="R195" s="521"/>
    </row>
    <row r="196" spans="1:24" s="361" customFormat="1" ht="16.5" customHeight="1">
      <c r="A196" s="492"/>
      <c r="B196" s="185"/>
      <c r="C196" s="185"/>
      <c r="D196" s="185"/>
      <c r="E196" s="182"/>
      <c r="F196" s="182"/>
      <c r="G196" s="182"/>
      <c r="H196" s="182"/>
      <c r="I196" s="182"/>
      <c r="J196" s="193"/>
      <c r="K196" s="502"/>
      <c r="L196" s="502"/>
      <c r="M196" s="502"/>
      <c r="N196" s="513"/>
      <c r="O196" s="294"/>
      <c r="P196" s="190"/>
      <c r="Q196" s="205"/>
      <c r="R196" s="521"/>
    </row>
    <row r="197" spans="1:24" s="361" customFormat="1" ht="16.5" customHeight="1">
      <c r="A197" s="492"/>
      <c r="B197" s="185"/>
      <c r="C197" s="185"/>
      <c r="D197" s="185"/>
      <c r="E197" s="182"/>
      <c r="F197" s="182"/>
      <c r="G197" s="182"/>
      <c r="H197" s="182"/>
      <c r="I197" s="182"/>
      <c r="J197" s="193"/>
      <c r="K197" s="502"/>
      <c r="L197" s="502"/>
      <c r="M197" s="502"/>
      <c r="N197" s="513"/>
      <c r="O197" s="281" t="s">
        <v>24</v>
      </c>
      <c r="P197" s="251" t="s">
        <v>0</v>
      </c>
      <c r="Q197" s="252" t="s">
        <v>11</v>
      </c>
      <c r="R197" s="273">
        <f>SUM(R167:R196)</f>
        <v>5460237.1654623998</v>
      </c>
    </row>
    <row r="198" spans="1:24" s="361" customFormat="1" ht="16.5" customHeight="1">
      <c r="A198" s="492"/>
      <c r="B198" s="185"/>
      <c r="C198" s="185"/>
      <c r="D198" s="185"/>
      <c r="E198" s="182"/>
      <c r="F198" s="182"/>
      <c r="G198" s="182"/>
      <c r="H198" s="182"/>
      <c r="I198" s="182"/>
      <c r="J198" s="193"/>
      <c r="K198" s="502"/>
      <c r="L198" s="502"/>
      <c r="M198" s="502"/>
      <c r="N198" s="513"/>
      <c r="O198" s="281" t="s">
        <v>25</v>
      </c>
      <c r="P198" s="251" t="s">
        <v>0</v>
      </c>
      <c r="Q198" s="252" t="s">
        <v>11</v>
      </c>
      <c r="R198" s="273">
        <f>R197</f>
        <v>5460237.1654623998</v>
      </c>
    </row>
    <row r="199" spans="1:24" ht="78.75" customHeight="1">
      <c r="A199" s="487" t="s">
        <v>471</v>
      </c>
      <c r="B199" s="999" t="s">
        <v>355</v>
      </c>
      <c r="C199" s="999"/>
      <c r="D199" s="999"/>
      <c r="E199" s="999"/>
      <c r="F199" s="999"/>
      <c r="G199" s="999"/>
      <c r="H199" s="999"/>
      <c r="I199" s="999"/>
      <c r="J199" s="999"/>
      <c r="K199" s="999"/>
      <c r="L199" s="999"/>
      <c r="M199" s="999"/>
      <c r="N199" s="999"/>
      <c r="O199" s="999"/>
      <c r="P199" s="184"/>
      <c r="Q199" s="197"/>
      <c r="R199" s="530"/>
      <c r="T199" s="168"/>
      <c r="X199" s="361"/>
    </row>
    <row r="200" spans="1:24" ht="20.25" customHeight="1">
      <c r="A200" s="518"/>
      <c r="B200" s="505"/>
      <c r="C200" s="505"/>
      <c r="D200" s="505"/>
      <c r="E200" s="505"/>
      <c r="F200" s="505"/>
      <c r="G200" s="505"/>
      <c r="H200" s="505"/>
      <c r="I200" s="505"/>
      <c r="J200" s="505"/>
      <c r="K200" s="505"/>
      <c r="L200" s="505"/>
      <c r="M200" s="505"/>
      <c r="N200" s="505"/>
      <c r="O200" s="505"/>
      <c r="P200" s="184"/>
      <c r="Q200" s="197"/>
      <c r="R200" s="530"/>
      <c r="T200" s="168"/>
    </row>
    <row r="201" spans="1:24" ht="15" customHeight="1">
      <c r="A201" s="494"/>
      <c r="B201" s="1028"/>
      <c r="C201" s="1028"/>
      <c r="D201" s="1028"/>
      <c r="E201" s="1028"/>
      <c r="F201" s="185"/>
      <c r="G201" s="185"/>
      <c r="H201" s="203">
        <v>2</v>
      </c>
      <c r="I201" s="342" t="s">
        <v>1</v>
      </c>
      <c r="J201" s="186">
        <v>6.9</v>
      </c>
      <c r="K201" s="342" t="s">
        <v>1</v>
      </c>
      <c r="L201" s="186">
        <v>5</v>
      </c>
      <c r="M201" s="343" t="s">
        <v>0</v>
      </c>
      <c r="N201" s="213">
        <f t="shared" ref="N201:N210" si="14">L201*J201*H201</f>
        <v>69</v>
      </c>
      <c r="O201" s="244" t="s">
        <v>420</v>
      </c>
      <c r="P201" s="184"/>
      <c r="Q201" s="197"/>
      <c r="R201" s="530"/>
      <c r="T201" s="168"/>
    </row>
    <row r="202" spans="1:24" ht="15" customHeight="1">
      <c r="A202" s="494"/>
      <c r="B202" s="210"/>
      <c r="C202" s="185"/>
      <c r="D202" s="185"/>
      <c r="E202" s="185"/>
      <c r="F202" s="185"/>
      <c r="G202" s="185"/>
      <c r="H202" s="203">
        <v>2</v>
      </c>
      <c r="I202" s="510" t="s">
        <v>1</v>
      </c>
      <c r="J202" s="186">
        <v>9.6</v>
      </c>
      <c r="K202" s="510" t="s">
        <v>1</v>
      </c>
      <c r="L202" s="186">
        <v>5</v>
      </c>
      <c r="M202" s="504" t="s">
        <v>0</v>
      </c>
      <c r="N202" s="213">
        <f t="shared" ref="N202:N207" si="15">L202*J202*H202</f>
        <v>96</v>
      </c>
      <c r="O202" s="244" t="s">
        <v>420</v>
      </c>
      <c r="P202" s="184"/>
      <c r="Q202" s="197"/>
      <c r="R202" s="530"/>
      <c r="T202" s="168"/>
    </row>
    <row r="203" spans="1:24" ht="33" customHeight="1">
      <c r="A203" s="494"/>
      <c r="B203" s="1028" t="s">
        <v>529</v>
      </c>
      <c r="C203" s="1028"/>
      <c r="D203" s="1028"/>
      <c r="E203" s="1028"/>
      <c r="F203" s="185"/>
      <c r="G203" s="185"/>
      <c r="H203" s="203">
        <v>2</v>
      </c>
      <c r="I203" s="510" t="s">
        <v>1</v>
      </c>
      <c r="J203" s="186">
        <v>1.8</v>
      </c>
      <c r="K203" s="510" t="s">
        <v>1</v>
      </c>
      <c r="L203" s="186">
        <v>2.1</v>
      </c>
      <c r="M203" s="504" t="s">
        <v>0</v>
      </c>
      <c r="N203" s="213">
        <f t="shared" si="15"/>
        <v>7.5600000000000005</v>
      </c>
      <c r="O203" s="244" t="s">
        <v>420</v>
      </c>
      <c r="P203" s="184"/>
      <c r="Q203" s="197"/>
      <c r="R203" s="530"/>
      <c r="T203" s="168"/>
    </row>
    <row r="204" spans="1:24" ht="21" customHeight="1">
      <c r="A204" s="494"/>
      <c r="B204" s="1028" t="s">
        <v>530</v>
      </c>
      <c r="C204" s="1028"/>
      <c r="D204" s="1028"/>
      <c r="E204" s="1028"/>
      <c r="F204" s="185"/>
      <c r="G204" s="185"/>
      <c r="H204" s="203">
        <v>2</v>
      </c>
      <c r="I204" s="510" t="s">
        <v>1</v>
      </c>
      <c r="J204" s="186">
        <v>4.3</v>
      </c>
      <c r="K204" s="510" t="s">
        <v>1</v>
      </c>
      <c r="L204" s="186">
        <v>2.1</v>
      </c>
      <c r="M204" s="504" t="s">
        <v>0</v>
      </c>
      <c r="N204" s="213">
        <f t="shared" si="15"/>
        <v>18.059999999999999</v>
      </c>
      <c r="O204" s="244" t="s">
        <v>420</v>
      </c>
      <c r="P204" s="184"/>
      <c r="Q204" s="197"/>
      <c r="R204" s="530"/>
      <c r="T204" s="168"/>
    </row>
    <row r="205" spans="1:24" ht="15" customHeight="1">
      <c r="A205" s="494"/>
      <c r="B205" s="210"/>
      <c r="C205" s="185"/>
      <c r="D205" s="185"/>
      <c r="E205" s="185"/>
      <c r="F205" s="185"/>
      <c r="G205" s="185"/>
      <c r="H205" s="203">
        <v>4</v>
      </c>
      <c r="I205" s="510" t="s">
        <v>1</v>
      </c>
      <c r="J205" s="186">
        <v>1.2</v>
      </c>
      <c r="K205" s="510" t="s">
        <v>1</v>
      </c>
      <c r="L205" s="186">
        <v>1.5</v>
      </c>
      <c r="M205" s="504" t="s">
        <v>0</v>
      </c>
      <c r="N205" s="213">
        <f t="shared" si="15"/>
        <v>7.1999999999999993</v>
      </c>
      <c r="O205" s="244" t="s">
        <v>420</v>
      </c>
      <c r="P205" s="184"/>
      <c r="Q205" s="197"/>
      <c r="R205" s="530"/>
      <c r="T205" s="168"/>
    </row>
    <row r="206" spans="1:24" ht="15" customHeight="1">
      <c r="A206" s="494"/>
      <c r="B206" s="210"/>
      <c r="C206" s="185"/>
      <c r="D206" s="185"/>
      <c r="E206" s="185"/>
      <c r="F206" s="185"/>
      <c r="G206" s="185"/>
      <c r="H206" s="203">
        <v>2</v>
      </c>
      <c r="I206" s="510" t="s">
        <v>1</v>
      </c>
      <c r="J206" s="186">
        <v>4.5</v>
      </c>
      <c r="K206" s="510" t="s">
        <v>1</v>
      </c>
      <c r="L206" s="186">
        <v>2.8</v>
      </c>
      <c r="M206" s="504" t="s">
        <v>0</v>
      </c>
      <c r="N206" s="213">
        <f t="shared" si="15"/>
        <v>25.2</v>
      </c>
      <c r="O206" s="244" t="s">
        <v>420</v>
      </c>
      <c r="P206" s="184"/>
      <c r="Q206" s="197"/>
      <c r="R206" s="530"/>
      <c r="T206" s="168"/>
    </row>
    <row r="207" spans="1:24" ht="15" customHeight="1">
      <c r="A207" s="494"/>
      <c r="B207" s="210"/>
      <c r="C207" s="185"/>
      <c r="D207" s="185"/>
      <c r="E207" s="185"/>
      <c r="F207" s="185"/>
      <c r="G207" s="185"/>
      <c r="H207" s="203">
        <v>4</v>
      </c>
      <c r="I207" s="510" t="s">
        <v>1</v>
      </c>
      <c r="J207" s="186">
        <v>1.5</v>
      </c>
      <c r="K207" s="510" t="s">
        <v>1</v>
      </c>
      <c r="L207" s="186">
        <v>2.8</v>
      </c>
      <c r="M207" s="504" t="s">
        <v>0</v>
      </c>
      <c r="N207" s="213">
        <f t="shared" si="15"/>
        <v>16.799999999999997</v>
      </c>
      <c r="O207" s="244" t="s">
        <v>420</v>
      </c>
      <c r="P207" s="184"/>
      <c r="Q207" s="197"/>
      <c r="R207" s="530"/>
      <c r="T207" s="168"/>
    </row>
    <row r="208" spans="1:24" ht="15" customHeight="1">
      <c r="A208" s="494"/>
      <c r="B208" s="185" t="s">
        <v>376</v>
      </c>
      <c r="C208" s="185"/>
      <c r="D208" s="185"/>
      <c r="E208" s="185"/>
      <c r="F208" s="185"/>
      <c r="G208" s="185"/>
      <c r="H208" s="203">
        <v>2</v>
      </c>
      <c r="I208" s="342" t="s">
        <v>1</v>
      </c>
      <c r="J208" s="186">
        <v>2.1</v>
      </c>
      <c r="K208" s="342" t="s">
        <v>1</v>
      </c>
      <c r="L208" s="186">
        <v>1</v>
      </c>
      <c r="M208" s="190" t="s">
        <v>0</v>
      </c>
      <c r="N208" s="213">
        <f t="shared" si="14"/>
        <v>4.2</v>
      </c>
      <c r="O208" s="244" t="s">
        <v>420</v>
      </c>
      <c r="P208" s="184"/>
      <c r="Q208" s="197"/>
      <c r="R208" s="530"/>
      <c r="T208" s="168"/>
    </row>
    <row r="209" spans="1:22" ht="15" customHeight="1">
      <c r="A209" s="494"/>
      <c r="B209" s="185"/>
      <c r="C209" s="185"/>
      <c r="D209" s="185"/>
      <c r="E209" s="185"/>
      <c r="F209" s="185"/>
      <c r="G209" s="185"/>
      <c r="H209" s="203">
        <v>3</v>
      </c>
      <c r="I209" s="510" t="s">
        <v>1</v>
      </c>
      <c r="J209" s="186">
        <v>2</v>
      </c>
      <c r="K209" s="510" t="s">
        <v>1</v>
      </c>
      <c r="L209" s="186">
        <v>0.8</v>
      </c>
      <c r="M209" s="190" t="s">
        <v>0</v>
      </c>
      <c r="N209" s="213">
        <f t="shared" ref="N209" si="16">L209*J209*H209</f>
        <v>4.8000000000000007</v>
      </c>
      <c r="O209" s="244" t="s">
        <v>420</v>
      </c>
      <c r="P209" s="184"/>
      <c r="Q209" s="197"/>
      <c r="R209" s="530"/>
      <c r="T209" s="168"/>
    </row>
    <row r="210" spans="1:22" ht="15" customHeight="1">
      <c r="A210" s="494"/>
      <c r="B210" s="185" t="s">
        <v>377</v>
      </c>
      <c r="C210" s="185"/>
      <c r="D210" s="185"/>
      <c r="E210" s="185"/>
      <c r="F210" s="234"/>
      <c r="G210" s="234"/>
      <c r="H210" s="203">
        <v>10</v>
      </c>
      <c r="I210" s="342" t="s">
        <v>1</v>
      </c>
      <c r="J210" s="186">
        <v>1</v>
      </c>
      <c r="K210" s="342" t="s">
        <v>1</v>
      </c>
      <c r="L210" s="186">
        <v>1.5</v>
      </c>
      <c r="M210" s="190" t="s">
        <v>0</v>
      </c>
      <c r="N210" s="213">
        <f t="shared" si="14"/>
        <v>15</v>
      </c>
      <c r="O210" s="265" t="s">
        <v>420</v>
      </c>
      <c r="P210" s="184"/>
      <c r="Q210" s="197"/>
      <c r="R210" s="530"/>
      <c r="T210" s="168"/>
    </row>
    <row r="211" spans="1:22" ht="15" customHeight="1">
      <c r="A211" s="494"/>
      <c r="B211" s="185" t="s">
        <v>379</v>
      </c>
      <c r="C211" s="185"/>
      <c r="D211" s="185"/>
      <c r="E211" s="185"/>
      <c r="F211" s="185"/>
      <c r="G211" s="185"/>
      <c r="H211" s="203">
        <f>H210</f>
        <v>10</v>
      </c>
      <c r="I211" s="342" t="s">
        <v>1</v>
      </c>
      <c r="J211" s="186">
        <v>1</v>
      </c>
      <c r="K211" s="342" t="s">
        <v>1</v>
      </c>
      <c r="L211" s="186">
        <v>0.45</v>
      </c>
      <c r="M211" s="232" t="s">
        <v>0</v>
      </c>
      <c r="N211" s="189">
        <f>L211*J211*H211</f>
        <v>4.5</v>
      </c>
      <c r="O211" s="283" t="s">
        <v>420</v>
      </c>
      <c r="P211" s="184"/>
      <c r="Q211" s="197"/>
      <c r="R211" s="530"/>
      <c r="T211" s="168"/>
    </row>
    <row r="212" spans="1:22" ht="15" customHeight="1">
      <c r="A212" s="494"/>
      <c r="B212" s="185"/>
      <c r="C212" s="185"/>
      <c r="D212" s="185"/>
      <c r="E212" s="185"/>
      <c r="F212" s="185"/>
      <c r="G212" s="185"/>
      <c r="H212" s="185"/>
      <c r="I212" s="185"/>
      <c r="J212" s="185"/>
      <c r="K212" s="996" t="s">
        <v>8</v>
      </c>
      <c r="L212" s="996"/>
      <c r="M212" s="190" t="s">
        <v>0</v>
      </c>
      <c r="N212" s="204">
        <f>(N201+N202+N203+N204+N205+N206+N207)-(N209-N208+N210+N211)</f>
        <v>219.72</v>
      </c>
      <c r="O212" s="244" t="s">
        <v>423</v>
      </c>
      <c r="P212" s="184"/>
      <c r="Q212" s="197"/>
      <c r="R212" s="530"/>
      <c r="T212" s="168"/>
    </row>
    <row r="213" spans="1:22" ht="17.25">
      <c r="A213" s="445"/>
      <c r="B213" s="211"/>
      <c r="C213" s="211"/>
      <c r="D213" s="211"/>
      <c r="E213" s="211"/>
      <c r="F213" s="211"/>
      <c r="G213" s="211"/>
      <c r="H213" s="211"/>
      <c r="I213" s="190"/>
      <c r="J213" s="236"/>
      <c r="K213" s="342"/>
      <c r="L213" s="233" t="s">
        <v>8</v>
      </c>
      <c r="M213" s="343" t="s">
        <v>0</v>
      </c>
      <c r="N213" s="199">
        <f>N212</f>
        <v>219.72</v>
      </c>
      <c r="O213" s="265" t="s">
        <v>420</v>
      </c>
      <c r="P213" s="200"/>
      <c r="Q213" s="185"/>
    </row>
    <row r="214" spans="1:22" ht="17.25">
      <c r="B214" s="185"/>
      <c r="C214" s="185"/>
      <c r="D214" s="185"/>
      <c r="E214" s="182"/>
      <c r="F214" s="182"/>
      <c r="G214" s="182"/>
      <c r="H214" s="182"/>
      <c r="I214" s="182"/>
      <c r="J214" s="193" t="s">
        <v>350</v>
      </c>
      <c r="K214" s="344" t="s">
        <v>11</v>
      </c>
      <c r="L214" s="989">
        <v>818</v>
      </c>
      <c r="M214" s="989"/>
      <c r="N214" s="341" t="s">
        <v>421</v>
      </c>
      <c r="O214" s="294"/>
      <c r="P214" s="190" t="s">
        <v>0</v>
      </c>
      <c r="Q214" s="205" t="s">
        <v>11</v>
      </c>
      <c r="R214" s="521">
        <f>L214*N213</f>
        <v>179730.96</v>
      </c>
    </row>
    <row r="215" spans="1:22">
      <c r="B215" s="185"/>
      <c r="C215" s="185"/>
      <c r="D215" s="185"/>
      <c r="E215" s="182"/>
      <c r="F215" s="182"/>
      <c r="G215" s="182"/>
      <c r="H215" s="182"/>
      <c r="I215" s="182"/>
      <c r="J215" s="193"/>
      <c r="K215" s="363"/>
      <c r="L215" s="363"/>
      <c r="M215" s="363"/>
      <c r="N215" s="365"/>
      <c r="O215" s="294"/>
      <c r="P215" s="190"/>
      <c r="Q215" s="205"/>
      <c r="R215" s="521"/>
    </row>
    <row r="216" spans="1:22" ht="32.25" customHeight="1">
      <c r="A216" s="487" t="s">
        <v>472</v>
      </c>
      <c r="B216" s="999" t="s">
        <v>363</v>
      </c>
      <c r="C216" s="999"/>
      <c r="D216" s="999"/>
      <c r="E216" s="999"/>
      <c r="F216" s="999"/>
      <c r="G216" s="999"/>
      <c r="H216" s="999"/>
      <c r="I216" s="999"/>
      <c r="J216" s="999"/>
      <c r="K216" s="999"/>
      <c r="L216" s="999"/>
      <c r="M216" s="999"/>
      <c r="N216" s="999"/>
      <c r="O216" s="999"/>
      <c r="P216" s="190"/>
      <c r="Q216" s="205"/>
      <c r="R216" s="521"/>
    </row>
    <row r="217" spans="1:22" ht="33.75" customHeight="1">
      <c r="B217" s="1008" t="s">
        <v>477</v>
      </c>
      <c r="C217" s="1008"/>
      <c r="D217" s="1008"/>
      <c r="E217" s="1008"/>
      <c r="F217" s="1008" t="s">
        <v>424</v>
      </c>
      <c r="G217" s="1008"/>
      <c r="H217" s="1008"/>
      <c r="I217" s="190"/>
      <c r="J217" s="236">
        <v>2</v>
      </c>
      <c r="K217" s="342" t="s">
        <v>1</v>
      </c>
      <c r="L217" s="253">
        <f>N213</f>
        <v>219.72</v>
      </c>
      <c r="M217" s="190" t="s">
        <v>0</v>
      </c>
      <c r="N217" s="199">
        <f>L217*J217</f>
        <v>439.44</v>
      </c>
      <c r="O217" s="234" t="s">
        <v>420</v>
      </c>
      <c r="P217" s="200"/>
      <c r="Q217" s="185"/>
    </row>
    <row r="218" spans="1:22" ht="18.75" customHeight="1">
      <c r="B218" s="211" t="s">
        <v>380</v>
      </c>
      <c r="C218" s="211"/>
      <c r="D218" s="211"/>
      <c r="E218" s="211"/>
      <c r="F218" s="211"/>
      <c r="G218" s="211"/>
      <c r="H218" s="211"/>
      <c r="I218" s="190"/>
      <c r="J218" s="236">
        <v>10</v>
      </c>
      <c r="K218" s="342" t="s">
        <v>1</v>
      </c>
      <c r="L218" s="233">
        <v>1.35</v>
      </c>
      <c r="M218" s="188" t="s">
        <v>0</v>
      </c>
      <c r="N218" s="501">
        <f>L218*J218</f>
        <v>13.5</v>
      </c>
      <c r="O218" s="283" t="s">
        <v>420</v>
      </c>
      <c r="P218" s="200"/>
      <c r="Q218" s="185"/>
    </row>
    <row r="219" spans="1:22" ht="18" customHeight="1">
      <c r="B219" s="211"/>
      <c r="C219" s="211"/>
      <c r="D219" s="211"/>
      <c r="E219" s="211"/>
      <c r="F219" s="211"/>
      <c r="G219" s="211"/>
      <c r="H219" s="211"/>
      <c r="I219" s="190"/>
      <c r="J219" s="236"/>
      <c r="K219" s="342"/>
      <c r="L219" s="233" t="s">
        <v>8</v>
      </c>
      <c r="M219" s="343" t="s">
        <v>0</v>
      </c>
      <c r="N219" s="213">
        <f>SUM(N217:N218)</f>
        <v>452.94</v>
      </c>
      <c r="O219" s="265" t="s">
        <v>420</v>
      </c>
      <c r="P219" s="200"/>
      <c r="Q219" s="185"/>
    </row>
    <row r="220" spans="1:22" ht="19.5" customHeight="1">
      <c r="A220" s="445"/>
      <c r="B220" s="185"/>
      <c r="C220" s="185"/>
      <c r="D220" s="185"/>
      <c r="E220" s="182"/>
      <c r="F220" s="182"/>
      <c r="G220" s="182"/>
      <c r="H220" s="182"/>
      <c r="I220" s="182"/>
      <c r="J220" s="193" t="s">
        <v>350</v>
      </c>
      <c r="K220" s="344" t="s">
        <v>11</v>
      </c>
      <c r="L220" s="989">
        <v>213</v>
      </c>
      <c r="M220" s="989"/>
      <c r="N220" s="341" t="s">
        <v>421</v>
      </c>
      <c r="O220" s="294"/>
      <c r="P220" s="190" t="s">
        <v>0</v>
      </c>
      <c r="Q220" s="205" t="s">
        <v>11</v>
      </c>
      <c r="R220" s="521">
        <f>L220*N219</f>
        <v>96476.22</v>
      </c>
    </row>
    <row r="221" spans="1:22" ht="19.5" customHeight="1">
      <c r="A221" s="445"/>
      <c r="B221" s="185"/>
      <c r="C221" s="185"/>
      <c r="D221" s="185"/>
      <c r="E221" s="182"/>
      <c r="F221" s="182"/>
      <c r="G221" s="182"/>
      <c r="H221" s="182"/>
      <c r="I221" s="182"/>
      <c r="J221" s="193"/>
      <c r="K221" s="363"/>
      <c r="L221" s="363"/>
      <c r="M221" s="363"/>
      <c r="N221" s="365"/>
      <c r="O221" s="294"/>
      <c r="P221" s="190"/>
      <c r="Q221" s="205"/>
      <c r="R221" s="521"/>
    </row>
    <row r="222" spans="1:22" ht="50.25" customHeight="1">
      <c r="A222" s="487" t="s">
        <v>473</v>
      </c>
      <c r="B222" s="999" t="s">
        <v>364</v>
      </c>
      <c r="C222" s="999"/>
      <c r="D222" s="999"/>
      <c r="E222" s="999"/>
      <c r="F222" s="999"/>
      <c r="G222" s="999"/>
      <c r="H222" s="999"/>
      <c r="I222" s="999"/>
      <c r="J222" s="999"/>
      <c r="K222" s="999"/>
      <c r="L222" s="999"/>
      <c r="M222" s="999"/>
      <c r="N222" s="999"/>
      <c r="O222" s="999"/>
      <c r="P222" s="192"/>
      <c r="Q222" s="205"/>
      <c r="R222" s="521"/>
    </row>
    <row r="223" spans="1:22" ht="18" customHeight="1">
      <c r="A223" s="281"/>
      <c r="B223" s="1005" t="s">
        <v>533</v>
      </c>
      <c r="C223" s="1005"/>
      <c r="D223" s="1005"/>
      <c r="E223" s="1005"/>
      <c r="F223" s="1005"/>
      <c r="G223" s="205"/>
      <c r="H223" s="192"/>
      <c r="I223" s="238"/>
      <c r="J223" s="239"/>
      <c r="K223" s="237"/>
      <c r="L223" s="191"/>
      <c r="M223" s="191"/>
      <c r="N223" s="240"/>
      <c r="O223" s="294"/>
      <c r="P223" s="190"/>
      <c r="Q223" s="205"/>
      <c r="R223" s="521"/>
      <c r="U223" s="180"/>
      <c r="V223" s="178"/>
    </row>
    <row r="224" spans="1:22" ht="15" customHeight="1">
      <c r="A224" s="495"/>
      <c r="B224" s="1004" t="s">
        <v>366</v>
      </c>
      <c r="C224" s="1004"/>
      <c r="D224" s="1004"/>
      <c r="E224" s="1004"/>
      <c r="F224" s="1004"/>
      <c r="G224" s="241"/>
      <c r="H224" s="241"/>
      <c r="I224" s="241"/>
      <c r="J224" s="241"/>
      <c r="K224" s="241"/>
      <c r="L224" s="241"/>
      <c r="M224" s="241"/>
      <c r="N224" s="241"/>
      <c r="O224" s="284"/>
      <c r="P224" s="190"/>
      <c r="Q224" s="205"/>
      <c r="R224" s="521"/>
    </row>
    <row r="225" spans="1:18" ht="15" customHeight="1">
      <c r="A225" s="495"/>
      <c r="B225" s="507" t="s">
        <v>531</v>
      </c>
      <c r="C225" s="453"/>
      <c r="D225" s="453"/>
      <c r="E225" s="453"/>
      <c r="F225" s="203">
        <f>H208</f>
        <v>2</v>
      </c>
      <c r="G225" s="452" t="s">
        <v>1</v>
      </c>
      <c r="H225" s="186">
        <v>2.1</v>
      </c>
      <c r="I225" s="452" t="s">
        <v>1</v>
      </c>
      <c r="J225" s="186">
        <v>1</v>
      </c>
      <c r="K225" s="452" t="s">
        <v>1</v>
      </c>
      <c r="L225" s="186">
        <v>0.15</v>
      </c>
      <c r="M225" s="190" t="s">
        <v>0</v>
      </c>
      <c r="N225" s="213">
        <f>ROUND(F225*H225*J225*L225,2)</f>
        <v>0.63</v>
      </c>
      <c r="O225" s="294" t="s">
        <v>418</v>
      </c>
      <c r="P225" s="190"/>
      <c r="Q225" s="205"/>
      <c r="R225" s="521"/>
    </row>
    <row r="226" spans="1:18" ht="15" customHeight="1">
      <c r="A226" s="495"/>
      <c r="B226" s="507"/>
      <c r="C226" s="507"/>
      <c r="D226" s="507"/>
      <c r="E226" s="507"/>
      <c r="F226" s="203">
        <f>H209</f>
        <v>3</v>
      </c>
      <c r="G226" s="510" t="s">
        <v>1</v>
      </c>
      <c r="H226" s="186">
        <v>2</v>
      </c>
      <c r="I226" s="510" t="s">
        <v>1</v>
      </c>
      <c r="J226" s="186">
        <v>0.8</v>
      </c>
      <c r="K226" s="510" t="s">
        <v>1</v>
      </c>
      <c r="L226" s="186">
        <v>0.15</v>
      </c>
      <c r="M226" s="190" t="s">
        <v>0</v>
      </c>
      <c r="N226" s="213">
        <f>ROUND(F226*H226*J226*L226,2)</f>
        <v>0.72</v>
      </c>
      <c r="O226" s="294" t="s">
        <v>418</v>
      </c>
      <c r="P226" s="190"/>
      <c r="Q226" s="205"/>
      <c r="R226" s="521"/>
    </row>
    <row r="227" spans="1:18" ht="15" customHeight="1">
      <c r="A227" s="495"/>
      <c r="B227" s="1004" t="s">
        <v>532</v>
      </c>
      <c r="C227" s="1004"/>
      <c r="D227" s="1004"/>
      <c r="E227" s="507"/>
      <c r="F227" s="203">
        <f>H210</f>
        <v>10</v>
      </c>
      <c r="G227" s="510" t="s">
        <v>1</v>
      </c>
      <c r="H227" s="186">
        <v>1</v>
      </c>
      <c r="I227" s="510" t="s">
        <v>1</v>
      </c>
      <c r="J227" s="186">
        <v>1.5</v>
      </c>
      <c r="K227" s="510" t="s">
        <v>1</v>
      </c>
      <c r="L227" s="186">
        <v>0.15</v>
      </c>
      <c r="M227" s="190" t="s">
        <v>0</v>
      </c>
      <c r="N227" s="213">
        <f>ROUND(F227*H227*J227*L227,2)</f>
        <v>2.25</v>
      </c>
      <c r="O227" s="294" t="s">
        <v>418</v>
      </c>
      <c r="P227" s="190"/>
      <c r="Q227" s="205"/>
      <c r="R227" s="521"/>
    </row>
    <row r="228" spans="1:18" ht="15" customHeight="1">
      <c r="A228" s="281"/>
      <c r="B228" s="192"/>
      <c r="C228" s="192"/>
      <c r="D228" s="192"/>
      <c r="E228" s="192"/>
      <c r="F228" s="237"/>
      <c r="G228" s="205"/>
      <c r="H228" s="192"/>
      <c r="I228" s="238"/>
      <c r="J228" s="239"/>
      <c r="K228" s="996" t="s">
        <v>8</v>
      </c>
      <c r="L228" s="996"/>
      <c r="M228" s="190" t="s">
        <v>0</v>
      </c>
      <c r="N228" s="204">
        <f>SUM(N225:N227)</f>
        <v>3.6</v>
      </c>
      <c r="O228" s="294" t="s">
        <v>418</v>
      </c>
      <c r="P228" s="190"/>
      <c r="Q228" s="205"/>
      <c r="R228" s="521"/>
    </row>
    <row r="229" spans="1:18" ht="15.75" customHeight="1">
      <c r="A229" s="445"/>
      <c r="B229" s="182"/>
      <c r="C229" s="182"/>
      <c r="D229" s="182"/>
      <c r="E229" s="182"/>
      <c r="F229" s="182"/>
      <c r="G229" s="182"/>
      <c r="H229" s="182"/>
      <c r="I229" s="182"/>
      <c r="J229" s="193" t="s">
        <v>350</v>
      </c>
      <c r="K229" s="344" t="s">
        <v>11</v>
      </c>
      <c r="L229" s="1006">
        <v>20613</v>
      </c>
      <c r="M229" s="1006"/>
      <c r="N229" s="341" t="s">
        <v>419</v>
      </c>
      <c r="O229" s="294"/>
      <c r="P229" s="184" t="s">
        <v>0</v>
      </c>
      <c r="Q229" s="197" t="s">
        <v>11</v>
      </c>
      <c r="R229" s="530">
        <f>ROUND(N228*L229,0)</f>
        <v>74207</v>
      </c>
    </row>
    <row r="230" spans="1:18" ht="15.75" customHeight="1">
      <c r="A230" s="515"/>
      <c r="B230" s="182"/>
      <c r="C230" s="182"/>
      <c r="D230" s="182"/>
      <c r="E230" s="182"/>
      <c r="F230" s="182"/>
      <c r="G230" s="182"/>
      <c r="H230" s="182"/>
      <c r="I230" s="182"/>
      <c r="J230" s="193"/>
      <c r="K230" s="502"/>
      <c r="L230" s="508"/>
      <c r="M230" s="508"/>
      <c r="N230" s="513"/>
      <c r="O230" s="294"/>
      <c r="P230" s="184"/>
      <c r="Q230" s="197"/>
      <c r="R230" s="530"/>
    </row>
    <row r="231" spans="1:18" ht="15.75" customHeight="1">
      <c r="A231" s="515"/>
      <c r="B231" s="182"/>
      <c r="C231" s="182"/>
      <c r="D231" s="182"/>
      <c r="E231" s="182"/>
      <c r="F231" s="182"/>
      <c r="G231" s="182"/>
      <c r="H231" s="182"/>
      <c r="I231" s="182"/>
      <c r="J231" s="193"/>
      <c r="K231" s="502"/>
      <c r="L231" s="508"/>
      <c r="M231" s="508"/>
      <c r="N231" s="513"/>
      <c r="O231" s="294"/>
      <c r="P231" s="184"/>
      <c r="Q231" s="197"/>
      <c r="R231" s="530"/>
    </row>
    <row r="232" spans="1:18" ht="15.75" customHeight="1">
      <c r="A232" s="515"/>
      <c r="B232" s="182"/>
      <c r="C232" s="182"/>
      <c r="D232" s="182"/>
      <c r="E232" s="182"/>
      <c r="F232" s="182"/>
      <c r="G232" s="182"/>
      <c r="H232" s="182"/>
      <c r="I232" s="182"/>
      <c r="J232" s="193"/>
      <c r="K232" s="502"/>
      <c r="L232" s="508"/>
      <c r="M232" s="508"/>
      <c r="N232" s="513"/>
      <c r="O232" s="294"/>
      <c r="P232" s="184"/>
      <c r="Q232" s="197"/>
      <c r="R232" s="530"/>
    </row>
    <row r="233" spans="1:18" ht="15.75" customHeight="1">
      <c r="A233" s="515"/>
      <c r="B233" s="182"/>
      <c r="C233" s="182"/>
      <c r="D233" s="182"/>
      <c r="E233" s="182"/>
      <c r="F233" s="182"/>
      <c r="G233" s="182"/>
      <c r="H233" s="182"/>
      <c r="I233" s="182"/>
      <c r="J233" s="193"/>
      <c r="K233" s="502"/>
      <c r="L233" s="508"/>
      <c r="M233" s="508"/>
      <c r="N233" s="513"/>
      <c r="O233" s="294"/>
      <c r="P233" s="184"/>
      <c r="Q233" s="197"/>
      <c r="R233" s="530"/>
    </row>
    <row r="234" spans="1:18" ht="15.75" customHeight="1">
      <c r="A234" s="515"/>
      <c r="B234" s="182"/>
      <c r="C234" s="182"/>
      <c r="D234" s="182"/>
      <c r="E234" s="182"/>
      <c r="F234" s="182"/>
      <c r="G234" s="182"/>
      <c r="H234" s="182"/>
      <c r="I234" s="182"/>
      <c r="J234" s="193"/>
      <c r="K234" s="502"/>
      <c r="L234" s="508"/>
      <c r="M234" s="508"/>
      <c r="N234" s="513"/>
      <c r="O234" s="294"/>
      <c r="P234" s="184"/>
      <c r="Q234" s="197"/>
      <c r="R234" s="530"/>
    </row>
    <row r="235" spans="1:18" ht="15.75" customHeight="1">
      <c r="A235" s="515"/>
      <c r="B235" s="182"/>
      <c r="C235" s="182"/>
      <c r="D235" s="182"/>
      <c r="E235" s="182"/>
      <c r="F235" s="182"/>
      <c r="G235" s="182"/>
      <c r="H235" s="182"/>
      <c r="I235" s="182"/>
      <c r="J235" s="193"/>
      <c r="K235" s="502"/>
      <c r="L235" s="508"/>
      <c r="M235" s="508"/>
      <c r="N235" s="513"/>
      <c r="O235" s="294"/>
      <c r="P235" s="184"/>
      <c r="Q235" s="197"/>
      <c r="R235" s="530"/>
    </row>
    <row r="236" spans="1:18" ht="15.75" customHeight="1">
      <c r="A236" s="515"/>
      <c r="B236" s="182"/>
      <c r="C236" s="182"/>
      <c r="D236" s="182"/>
      <c r="E236" s="182"/>
      <c r="F236" s="182"/>
      <c r="G236" s="182"/>
      <c r="H236" s="182"/>
      <c r="I236" s="182"/>
      <c r="J236" s="193"/>
      <c r="K236" s="502"/>
      <c r="L236" s="508"/>
      <c r="M236" s="508"/>
      <c r="N236" s="513"/>
      <c r="O236" s="281" t="s">
        <v>24</v>
      </c>
      <c r="P236" s="251" t="s">
        <v>0</v>
      </c>
      <c r="Q236" s="252" t="s">
        <v>11</v>
      </c>
      <c r="R236" s="273">
        <f>SUM(R198:R235)</f>
        <v>5810651.3454623995</v>
      </c>
    </row>
    <row r="237" spans="1:18" ht="15.75" customHeight="1">
      <c r="A237" s="445"/>
      <c r="B237" s="182"/>
      <c r="C237" s="182"/>
      <c r="D237" s="182"/>
      <c r="E237" s="182"/>
      <c r="F237" s="182"/>
      <c r="G237" s="182"/>
      <c r="H237" s="182"/>
      <c r="I237" s="182"/>
      <c r="J237" s="193"/>
      <c r="K237" s="363"/>
      <c r="L237" s="364"/>
      <c r="M237" s="364"/>
      <c r="N237" s="365"/>
      <c r="O237" s="281" t="s">
        <v>25</v>
      </c>
      <c r="P237" s="251" t="s">
        <v>0</v>
      </c>
      <c r="Q237" s="252" t="s">
        <v>11</v>
      </c>
      <c r="R237" s="273">
        <f>R236</f>
        <v>5810651.3454623995</v>
      </c>
    </row>
    <row r="238" spans="1:18" ht="15.75" customHeight="1">
      <c r="A238" s="515"/>
      <c r="B238" s="182"/>
      <c r="C238" s="182"/>
      <c r="D238" s="182"/>
      <c r="E238" s="182"/>
      <c r="F238" s="182"/>
      <c r="G238" s="182"/>
      <c r="H238" s="182"/>
      <c r="I238" s="182"/>
      <c r="J238" s="193"/>
      <c r="K238" s="502"/>
      <c r="L238" s="508"/>
      <c r="M238" s="508"/>
      <c r="N238" s="513"/>
      <c r="O238" s="281"/>
      <c r="P238" s="251"/>
      <c r="Q238" s="252"/>
      <c r="R238" s="273"/>
    </row>
    <row r="239" spans="1:18" ht="15.75" customHeight="1">
      <c r="A239" s="515"/>
      <c r="B239" s="182"/>
      <c r="C239" s="182"/>
      <c r="D239" s="182"/>
      <c r="E239" s="182"/>
      <c r="F239" s="182"/>
      <c r="G239" s="182"/>
      <c r="H239" s="182"/>
      <c r="I239" s="182"/>
      <c r="J239" s="193"/>
      <c r="K239" s="502"/>
      <c r="L239" s="508"/>
      <c r="M239" s="508"/>
      <c r="N239" s="513"/>
      <c r="O239" s="281"/>
      <c r="P239" s="251"/>
      <c r="Q239" s="252"/>
      <c r="R239" s="273"/>
    </row>
    <row r="240" spans="1:18" ht="46.5" customHeight="1">
      <c r="A240" s="487" t="s">
        <v>474</v>
      </c>
      <c r="B240" s="999" t="s">
        <v>367</v>
      </c>
      <c r="C240" s="999"/>
      <c r="D240" s="999"/>
      <c r="E240" s="999"/>
      <c r="F240" s="999"/>
      <c r="G240" s="999"/>
      <c r="H240" s="999"/>
      <c r="I240" s="999"/>
      <c r="J240" s="999"/>
      <c r="K240" s="999"/>
      <c r="L240" s="999"/>
      <c r="M240" s="999"/>
      <c r="N240" s="999"/>
      <c r="O240" s="999"/>
      <c r="P240" s="192"/>
      <c r="Q240" s="205"/>
      <c r="R240" s="521"/>
    </row>
    <row r="241" spans="1:29" ht="15.75" customHeight="1">
      <c r="A241" s="494"/>
      <c r="B241" s="1005" t="s">
        <v>533</v>
      </c>
      <c r="C241" s="1005"/>
      <c r="D241" s="1005"/>
      <c r="E241" s="1005"/>
      <c r="F241" s="1005"/>
      <c r="G241" s="368"/>
      <c r="H241" s="368"/>
      <c r="I241" s="346"/>
      <c r="J241" s="346"/>
      <c r="K241" s="346"/>
      <c r="L241" s="346"/>
      <c r="M241" s="346"/>
      <c r="N241" s="346"/>
      <c r="O241" s="347"/>
      <c r="P241" s="192"/>
      <c r="Q241" s="205"/>
      <c r="R241" s="521"/>
      <c r="U241" s="181"/>
    </row>
    <row r="242" spans="1:29" ht="15.75" customHeight="1">
      <c r="A242" s="281"/>
      <c r="B242" s="1004" t="s">
        <v>366</v>
      </c>
      <c r="C242" s="1004"/>
      <c r="D242" s="1004"/>
      <c r="E242" s="1004"/>
      <c r="F242" s="1004"/>
      <c r="G242" s="243"/>
      <c r="H242" s="426"/>
      <c r="I242" s="342"/>
      <c r="J242" s="186"/>
      <c r="K242" s="342"/>
      <c r="L242" s="186"/>
      <c r="M242" s="190"/>
      <c r="N242" s="213"/>
      <c r="O242" s="265"/>
      <c r="P242" s="192"/>
      <c r="Q242" s="205"/>
      <c r="R242" s="521"/>
    </row>
    <row r="243" spans="1:29" ht="15" customHeight="1">
      <c r="A243" s="495"/>
      <c r="B243" s="507" t="s">
        <v>531</v>
      </c>
      <c r="C243" s="507"/>
      <c r="D243" s="507"/>
      <c r="E243" s="507"/>
      <c r="F243" s="203">
        <v>2</v>
      </c>
      <c r="G243" s="510" t="s">
        <v>1</v>
      </c>
      <c r="H243" s="186">
        <v>2.1</v>
      </c>
      <c r="I243" s="510" t="s">
        <v>1</v>
      </c>
      <c r="J243" s="186">
        <v>1</v>
      </c>
      <c r="K243" s="510" t="s">
        <v>1</v>
      </c>
      <c r="L243" s="186">
        <v>1</v>
      </c>
      <c r="M243" s="190" t="s">
        <v>0</v>
      </c>
      <c r="N243" s="213">
        <f>ROUND(F243*H243*J243*L243,2)</f>
        <v>4.2</v>
      </c>
      <c r="O243" s="294" t="s">
        <v>418</v>
      </c>
      <c r="P243" s="190"/>
      <c r="Q243" s="205"/>
      <c r="R243" s="521"/>
    </row>
    <row r="244" spans="1:29" ht="15" customHeight="1">
      <c r="A244" s="495"/>
      <c r="B244" s="507"/>
      <c r="C244" s="507"/>
      <c r="D244" s="507"/>
      <c r="E244" s="507"/>
      <c r="F244" s="203">
        <v>3</v>
      </c>
      <c r="G244" s="510" t="s">
        <v>1</v>
      </c>
      <c r="H244" s="186">
        <v>2</v>
      </c>
      <c r="I244" s="510" t="s">
        <v>1</v>
      </c>
      <c r="J244" s="186">
        <v>0.8</v>
      </c>
      <c r="K244" s="510" t="s">
        <v>1</v>
      </c>
      <c r="L244" s="186">
        <v>1</v>
      </c>
      <c r="M244" s="188" t="s">
        <v>0</v>
      </c>
      <c r="N244" s="189">
        <f>ROUND(F244*H244*J244*L244,2)</f>
        <v>4.8</v>
      </c>
      <c r="O244" s="278" t="s">
        <v>418</v>
      </c>
      <c r="P244" s="190"/>
      <c r="Q244" s="205"/>
      <c r="R244" s="521"/>
    </row>
    <row r="245" spans="1:29" ht="15.75" customHeight="1">
      <c r="A245" s="281"/>
      <c r="B245" s="192"/>
      <c r="C245" s="192"/>
      <c r="D245" s="192"/>
      <c r="E245" s="192"/>
      <c r="F245" s="242"/>
      <c r="G245" s="243"/>
      <c r="H245" s="203"/>
      <c r="I245" s="342"/>
      <c r="J245" s="186"/>
      <c r="K245" s="342"/>
      <c r="L245" s="186" t="s">
        <v>8</v>
      </c>
      <c r="M245" s="343" t="s">
        <v>0</v>
      </c>
      <c r="N245" s="213">
        <f>SUM(N243:N244)</f>
        <v>9</v>
      </c>
      <c r="O245" s="278" t="s">
        <v>418</v>
      </c>
      <c r="P245" s="192"/>
      <c r="Q245" s="205"/>
      <c r="R245" s="521"/>
    </row>
    <row r="246" spans="1:29" ht="15.75" customHeight="1">
      <c r="A246" s="445"/>
      <c r="B246" s="182"/>
      <c r="C246" s="182"/>
      <c r="D246" s="182"/>
      <c r="E246" s="182"/>
      <c r="F246" s="182"/>
      <c r="G246" s="182"/>
      <c r="H246" s="182"/>
      <c r="I246" s="182"/>
      <c r="J246" s="193" t="s">
        <v>350</v>
      </c>
      <c r="K246" s="344" t="s">
        <v>11</v>
      </c>
      <c r="L246" s="989">
        <v>1859</v>
      </c>
      <c r="M246" s="989"/>
      <c r="N246" s="341" t="s">
        <v>421</v>
      </c>
      <c r="O246" s="294"/>
      <c r="P246" s="184" t="s">
        <v>0</v>
      </c>
      <c r="Q246" s="197" t="s">
        <v>11</v>
      </c>
      <c r="R246" s="530">
        <f>L246*N245</f>
        <v>16731</v>
      </c>
    </row>
    <row r="247" spans="1:29" ht="15.75" customHeight="1">
      <c r="A247" s="515"/>
      <c r="B247" s="182"/>
      <c r="C247" s="182"/>
      <c r="D247" s="182"/>
      <c r="E247" s="182"/>
      <c r="F247" s="182"/>
      <c r="G247" s="182"/>
      <c r="H247" s="182"/>
      <c r="I247" s="182"/>
      <c r="J247" s="193"/>
      <c r="K247" s="502"/>
      <c r="L247" s="502"/>
      <c r="M247" s="502"/>
      <c r="N247" s="513"/>
      <c r="O247" s="294"/>
      <c r="P247" s="184"/>
      <c r="Q247" s="197"/>
      <c r="R247" s="530"/>
    </row>
    <row r="248" spans="1:29" ht="15.75" customHeight="1">
      <c r="A248" s="515"/>
      <c r="B248" s="182"/>
      <c r="C248" s="182"/>
      <c r="D248" s="182"/>
      <c r="E248" s="182"/>
      <c r="F248" s="182"/>
      <c r="G248" s="182"/>
      <c r="H248" s="182"/>
      <c r="I248" s="182"/>
      <c r="J248" s="193"/>
      <c r="K248" s="502"/>
      <c r="L248" s="502"/>
      <c r="M248" s="502"/>
      <c r="N248" s="513"/>
      <c r="O248" s="294"/>
      <c r="P248" s="184"/>
      <c r="Q248" s="197"/>
      <c r="R248" s="530"/>
    </row>
    <row r="249" spans="1:29" ht="15.75" customHeight="1">
      <c r="A249" s="445"/>
      <c r="B249" s="182"/>
      <c r="C249" s="182"/>
      <c r="D249" s="182"/>
      <c r="E249" s="182"/>
      <c r="F249" s="182"/>
      <c r="G249" s="182"/>
      <c r="H249" s="182"/>
      <c r="I249" s="182"/>
      <c r="J249" s="193"/>
      <c r="K249" s="401"/>
      <c r="L249" s="401"/>
      <c r="M249" s="401"/>
      <c r="N249" s="400"/>
      <c r="O249" s="294"/>
      <c r="P249" s="184"/>
      <c r="Q249" s="197"/>
      <c r="R249" s="530"/>
    </row>
    <row r="250" spans="1:29" ht="83.25" customHeight="1">
      <c r="A250" s="487" t="s">
        <v>475</v>
      </c>
      <c r="B250" s="999" t="s">
        <v>413</v>
      </c>
      <c r="C250" s="999"/>
      <c r="D250" s="999"/>
      <c r="E250" s="999"/>
      <c r="F250" s="999"/>
      <c r="G250" s="999"/>
      <c r="H250" s="999"/>
      <c r="I250" s="999"/>
      <c r="J250" s="999"/>
      <c r="K250" s="999"/>
      <c r="L250" s="999"/>
      <c r="M250" s="999"/>
      <c r="N250" s="999"/>
      <c r="O250" s="999"/>
      <c r="P250" s="192"/>
      <c r="Q250" s="205"/>
      <c r="R250" s="521"/>
    </row>
    <row r="251" spans="1:29" ht="15.75" customHeight="1">
      <c r="A251" s="494"/>
      <c r="B251" s="993" t="s">
        <v>372</v>
      </c>
      <c r="C251" s="993"/>
      <c r="D251" s="993"/>
      <c r="E251" s="993"/>
      <c r="F251" s="302"/>
      <c r="G251" s="302"/>
      <c r="H251" s="302"/>
      <c r="I251" s="346"/>
      <c r="J251" s="346"/>
      <c r="K251" s="346"/>
      <c r="L251" s="346"/>
      <c r="M251" s="346"/>
      <c r="N251" s="346"/>
      <c r="O251" s="347"/>
      <c r="P251" s="192"/>
      <c r="Q251" s="205"/>
      <c r="R251" s="521"/>
      <c r="AC251" s="498"/>
    </row>
    <row r="252" spans="1:29" ht="15.75" customHeight="1">
      <c r="B252" s="1001" t="s">
        <v>511</v>
      </c>
      <c r="C252" s="1001"/>
      <c r="D252" s="1001"/>
      <c r="E252" s="1001"/>
      <c r="F252" s="1001"/>
      <c r="G252" s="1001"/>
      <c r="H252" s="231"/>
      <c r="I252" s="448"/>
      <c r="J252" s="187"/>
      <c r="K252" s="448"/>
      <c r="L252" s="187"/>
      <c r="M252" s="190"/>
      <c r="N252" s="213"/>
      <c r="O252" s="265"/>
      <c r="P252" s="200"/>
      <c r="Q252" s="185"/>
    </row>
    <row r="253" spans="1:29" ht="15" customHeight="1">
      <c r="A253" s="495"/>
      <c r="B253" s="1001"/>
      <c r="C253" s="1001"/>
      <c r="D253" s="1001"/>
      <c r="E253" s="1001"/>
      <c r="F253" s="1001"/>
      <c r="G253" s="1001"/>
      <c r="H253" s="203">
        <f>H210</f>
        <v>10</v>
      </c>
      <c r="I253" s="452" t="s">
        <v>1</v>
      </c>
      <c r="J253" s="186">
        <v>1.2</v>
      </c>
      <c r="K253" s="452" t="s">
        <v>1</v>
      </c>
      <c r="L253" s="186">
        <v>1.5</v>
      </c>
      <c r="M253" s="190" t="s">
        <v>0</v>
      </c>
      <c r="N253" s="213">
        <f t="shared" ref="N253" si="17">L253*J253*H253</f>
        <v>18</v>
      </c>
      <c r="O253" s="244" t="s">
        <v>420</v>
      </c>
      <c r="P253" s="190"/>
      <c r="Q253" s="205"/>
      <c r="R253" s="521"/>
    </row>
    <row r="254" spans="1:29" ht="15" customHeight="1">
      <c r="A254" s="495"/>
      <c r="B254" s="1001"/>
      <c r="C254" s="1001"/>
      <c r="D254" s="1001"/>
      <c r="E254" s="1001"/>
      <c r="F254" s="1001"/>
      <c r="G254" s="1001"/>
      <c r="H254" s="203"/>
      <c r="I254" s="452"/>
      <c r="J254" s="186"/>
      <c r="K254" s="452"/>
      <c r="L254" s="186"/>
      <c r="M254" s="190"/>
      <c r="N254" s="213"/>
      <c r="O254" s="244"/>
      <c r="P254" s="190"/>
      <c r="Q254" s="205"/>
      <c r="R254" s="521"/>
    </row>
    <row r="255" spans="1:29" ht="15" customHeight="1">
      <c r="A255" s="495"/>
      <c r="B255" s="1001"/>
      <c r="C255" s="1001"/>
      <c r="D255" s="1001"/>
      <c r="E255" s="1001"/>
      <c r="F255" s="1001"/>
      <c r="G255" s="1001"/>
      <c r="H255" s="203"/>
      <c r="I255" s="452"/>
      <c r="J255" s="186"/>
      <c r="K255" s="452"/>
      <c r="L255" s="186"/>
      <c r="M255" s="188"/>
      <c r="N255" s="189"/>
      <c r="O255" s="244"/>
      <c r="P255" s="190"/>
      <c r="Q255" s="205"/>
      <c r="R255" s="521"/>
    </row>
    <row r="256" spans="1:29" ht="15.75" customHeight="1">
      <c r="B256" s="1001"/>
      <c r="C256" s="1001"/>
      <c r="D256" s="1001"/>
      <c r="E256" s="1001"/>
      <c r="F256" s="1001"/>
      <c r="G256" s="1001"/>
      <c r="H256" s="185"/>
      <c r="I256" s="185"/>
      <c r="J256" s="185"/>
      <c r="K256" s="996" t="s">
        <v>8</v>
      </c>
      <c r="L256" s="996"/>
      <c r="M256" s="190" t="s">
        <v>0</v>
      </c>
      <c r="N256" s="204">
        <f>SUM(N253:N255)</f>
        <v>18</v>
      </c>
      <c r="O256" s="244" t="s">
        <v>420</v>
      </c>
      <c r="P256" s="185"/>
      <c r="Q256" s="185"/>
      <c r="AC256" s="397"/>
    </row>
    <row r="257" spans="1:18" ht="15.75" customHeight="1">
      <c r="A257" s="445"/>
      <c r="B257" s="1001"/>
      <c r="C257" s="1001"/>
      <c r="D257" s="1001"/>
      <c r="E257" s="1001"/>
      <c r="F257" s="1001"/>
      <c r="G257" s="1001"/>
      <c r="H257" s="182"/>
      <c r="I257" s="182"/>
      <c r="J257" s="193" t="s">
        <v>350</v>
      </c>
      <c r="K257" s="344" t="s">
        <v>11</v>
      </c>
      <c r="L257" s="989">
        <v>1932</v>
      </c>
      <c r="M257" s="989"/>
      <c r="N257" s="341" t="s">
        <v>421</v>
      </c>
      <c r="O257" s="294"/>
      <c r="P257" s="190" t="s">
        <v>0</v>
      </c>
      <c r="Q257" s="205" t="s">
        <v>11</v>
      </c>
      <c r="R257" s="521">
        <f>ROUND(N256*L257,0)</f>
        <v>34776</v>
      </c>
    </row>
    <row r="258" spans="1:18" ht="15.75" customHeight="1">
      <c r="A258" s="445"/>
      <c r="B258" s="399"/>
      <c r="C258" s="399"/>
      <c r="D258" s="399"/>
      <c r="E258" s="399"/>
      <c r="F258" s="399"/>
      <c r="G258" s="399"/>
      <c r="H258" s="182"/>
      <c r="I258" s="182"/>
      <c r="J258" s="193"/>
      <c r="K258" s="401"/>
      <c r="L258" s="401"/>
      <c r="M258" s="401"/>
      <c r="N258" s="400"/>
      <c r="O258" s="294"/>
      <c r="P258" s="190"/>
      <c r="Q258" s="205"/>
      <c r="R258" s="521"/>
    </row>
    <row r="259" spans="1:18" ht="15.75" customHeight="1">
      <c r="A259" s="515"/>
      <c r="B259" s="506"/>
      <c r="C259" s="506"/>
      <c r="D259" s="506"/>
      <c r="E259" s="506"/>
      <c r="F259" s="506"/>
      <c r="G259" s="506"/>
      <c r="H259" s="182"/>
      <c r="I259" s="182"/>
      <c r="J259" s="193"/>
      <c r="K259" s="502"/>
      <c r="L259" s="502"/>
      <c r="M259" s="502"/>
      <c r="N259" s="513"/>
      <c r="O259" s="294"/>
      <c r="P259" s="190"/>
      <c r="Q259" s="205"/>
      <c r="R259" s="521"/>
    </row>
    <row r="260" spans="1:18" ht="15.75" customHeight="1">
      <c r="A260" s="445"/>
      <c r="B260" s="399"/>
      <c r="C260" s="399"/>
      <c r="D260" s="399"/>
      <c r="E260" s="399"/>
      <c r="F260" s="399"/>
      <c r="G260" s="399"/>
      <c r="H260" s="182"/>
      <c r="I260" s="182"/>
      <c r="J260" s="193"/>
      <c r="K260" s="401"/>
      <c r="L260" s="401"/>
      <c r="M260" s="401"/>
      <c r="N260" s="400"/>
      <c r="O260" s="294"/>
      <c r="P260" s="190"/>
      <c r="Q260" s="205"/>
      <c r="R260" s="521"/>
    </row>
    <row r="261" spans="1:18" ht="15" customHeight="1">
      <c r="A261" s="1068" t="s">
        <v>476</v>
      </c>
      <c r="B261" s="998" t="s">
        <v>414</v>
      </c>
      <c r="C261" s="998"/>
      <c r="D261" s="998"/>
      <c r="E261" s="998"/>
      <c r="F261" s="998"/>
      <c r="G261" s="998"/>
      <c r="H261" s="998"/>
      <c r="I261" s="998"/>
      <c r="J261" s="998"/>
      <c r="K261" s="998"/>
      <c r="L261" s="998"/>
      <c r="M261" s="998"/>
      <c r="N261" s="998"/>
      <c r="O261" s="279"/>
      <c r="P261" s="207"/>
      <c r="Q261" s="208"/>
      <c r="R261" s="273"/>
    </row>
    <row r="262" spans="1:18" ht="31.5" customHeight="1">
      <c r="A262" s="1068"/>
      <c r="B262" s="998"/>
      <c r="C262" s="998"/>
      <c r="D262" s="998"/>
      <c r="E262" s="998"/>
      <c r="F262" s="998"/>
      <c r="G262" s="998"/>
      <c r="H262" s="998"/>
      <c r="I262" s="998"/>
      <c r="J262" s="998"/>
      <c r="K262" s="998"/>
      <c r="L262" s="998"/>
      <c r="M262" s="998"/>
      <c r="N262" s="998"/>
      <c r="O262" s="279"/>
      <c r="P262" s="207"/>
      <c r="Q262" s="208"/>
      <c r="R262" s="273"/>
    </row>
    <row r="263" spans="1:18" ht="15" customHeight="1">
      <c r="A263" s="445"/>
      <c r="B263" s="1008" t="s">
        <v>372</v>
      </c>
      <c r="C263" s="1008"/>
      <c r="D263" s="1008"/>
      <c r="E263" s="1008"/>
      <c r="F263" s="383"/>
      <c r="G263" s="383"/>
      <c r="H263" s="383"/>
      <c r="I263" s="346"/>
      <c r="J263" s="346"/>
      <c r="K263" s="346"/>
      <c r="L263" s="346"/>
      <c r="M263" s="346"/>
      <c r="N263" s="346"/>
      <c r="O263" s="347"/>
      <c r="P263" s="207"/>
      <c r="Q263" s="208"/>
      <c r="R263" s="273"/>
    </row>
    <row r="264" spans="1:18" ht="15" customHeight="1">
      <c r="A264" s="445"/>
      <c r="B264" s="211" t="s">
        <v>383</v>
      </c>
      <c r="C264" s="185"/>
      <c r="D264" s="185"/>
      <c r="E264" s="185"/>
      <c r="F264" s="244"/>
      <c r="G264" s="185"/>
      <c r="H264" s="203">
        <f>H253</f>
        <v>10</v>
      </c>
      <c r="I264" s="452" t="s">
        <v>1</v>
      </c>
      <c r="J264" s="186">
        <v>1</v>
      </c>
      <c r="K264" s="452" t="s">
        <v>1</v>
      </c>
      <c r="L264" s="186">
        <v>1.5</v>
      </c>
      <c r="M264" s="190" t="s">
        <v>0</v>
      </c>
      <c r="N264" s="213">
        <f t="shared" ref="N264" si="18">L264*J264*H264</f>
        <v>15</v>
      </c>
      <c r="O264" s="244" t="s">
        <v>420</v>
      </c>
      <c r="P264" s="207"/>
      <c r="Q264" s="208"/>
      <c r="R264" s="273"/>
    </row>
    <row r="265" spans="1:18" ht="15" customHeight="1">
      <c r="A265" s="445"/>
      <c r="B265" s="182"/>
      <c r="C265" s="182"/>
      <c r="D265" s="182"/>
      <c r="E265" s="182"/>
      <c r="F265" s="182"/>
      <c r="G265" s="182"/>
      <c r="H265" s="182"/>
      <c r="I265" s="182"/>
      <c r="J265" s="185"/>
      <c r="K265" s="996" t="s">
        <v>8</v>
      </c>
      <c r="L265" s="996"/>
      <c r="M265" s="228" t="s">
        <v>0</v>
      </c>
      <c r="N265" s="235">
        <f>SUM(N264:N264)</f>
        <v>15</v>
      </c>
      <c r="O265" s="360" t="s">
        <v>420</v>
      </c>
      <c r="P265" s="185"/>
      <c r="Q265" s="185"/>
    </row>
    <row r="266" spans="1:18" ht="15" customHeight="1">
      <c r="A266" s="445"/>
      <c r="B266" s="182"/>
      <c r="C266" s="182"/>
      <c r="D266" s="182"/>
      <c r="E266" s="182"/>
      <c r="F266" s="182"/>
      <c r="G266" s="182"/>
      <c r="H266" s="182"/>
      <c r="I266" s="182"/>
      <c r="J266" s="193" t="s">
        <v>350</v>
      </c>
      <c r="K266" s="344" t="s">
        <v>11</v>
      </c>
      <c r="L266" s="989">
        <v>1240</v>
      </c>
      <c r="M266" s="989"/>
      <c r="N266" s="341" t="s">
        <v>421</v>
      </c>
      <c r="O266" s="294"/>
      <c r="P266" s="190" t="s">
        <v>0</v>
      </c>
      <c r="Q266" s="205" t="s">
        <v>11</v>
      </c>
      <c r="R266" s="521">
        <f>ROUND(N265*L266,0)</f>
        <v>18600</v>
      </c>
    </row>
    <row r="267" spans="1:18" ht="15" customHeight="1">
      <c r="A267" s="515"/>
      <c r="B267" s="182"/>
      <c r="C267" s="182"/>
      <c r="D267" s="182"/>
      <c r="E267" s="182"/>
      <c r="F267" s="182"/>
      <c r="G267" s="182"/>
      <c r="H267" s="182"/>
      <c r="I267" s="182"/>
      <c r="J267" s="193"/>
      <c r="K267" s="502"/>
      <c r="L267" s="502"/>
      <c r="M267" s="502"/>
      <c r="N267" s="513"/>
      <c r="O267" s="294"/>
      <c r="P267" s="190"/>
      <c r="Q267" s="205"/>
      <c r="R267" s="521"/>
    </row>
    <row r="268" spans="1:18" ht="15" customHeight="1">
      <c r="A268" s="515"/>
      <c r="B268" s="182"/>
      <c r="C268" s="182"/>
      <c r="D268" s="182"/>
      <c r="E268" s="182"/>
      <c r="F268" s="182"/>
      <c r="G268" s="182"/>
      <c r="H268" s="182"/>
      <c r="I268" s="182"/>
      <c r="J268" s="193"/>
      <c r="K268" s="502"/>
      <c r="L268" s="502"/>
      <c r="M268" s="502"/>
      <c r="N268" s="513"/>
      <c r="O268" s="294"/>
      <c r="P268" s="190"/>
      <c r="Q268" s="205"/>
      <c r="R268" s="521"/>
    </row>
    <row r="269" spans="1:18" ht="15" customHeight="1">
      <c r="A269" s="515"/>
      <c r="B269" s="182"/>
      <c r="C269" s="182"/>
      <c r="D269" s="182"/>
      <c r="E269" s="182"/>
      <c r="F269" s="182"/>
      <c r="G269" s="182"/>
      <c r="H269" s="182"/>
      <c r="I269" s="182"/>
      <c r="J269" s="193"/>
      <c r="K269" s="502"/>
      <c r="L269" s="502"/>
      <c r="M269" s="502"/>
      <c r="N269" s="513"/>
      <c r="O269" s="294"/>
      <c r="P269" s="190"/>
      <c r="Q269" s="205"/>
      <c r="R269" s="521"/>
    </row>
    <row r="270" spans="1:18" ht="15" customHeight="1">
      <c r="A270" s="515"/>
      <c r="B270" s="182"/>
      <c r="C270" s="182"/>
      <c r="D270" s="182"/>
      <c r="E270" s="182"/>
      <c r="F270" s="182"/>
      <c r="G270" s="182"/>
      <c r="H270" s="182"/>
      <c r="I270" s="182"/>
      <c r="J270" s="193"/>
      <c r="K270" s="502"/>
      <c r="L270" s="502"/>
      <c r="M270" s="502"/>
      <c r="N270" s="513"/>
      <c r="O270" s="294"/>
      <c r="P270" s="190"/>
      <c r="Q270" s="205"/>
      <c r="R270" s="521"/>
    </row>
    <row r="271" spans="1:18" ht="15" customHeight="1">
      <c r="A271" s="515"/>
      <c r="B271" s="182"/>
      <c r="C271" s="182"/>
      <c r="D271" s="182"/>
      <c r="E271" s="182"/>
      <c r="F271" s="182"/>
      <c r="G271" s="182"/>
      <c r="H271" s="182"/>
      <c r="I271" s="182"/>
      <c r="J271" s="193"/>
      <c r="K271" s="502"/>
      <c r="L271" s="502"/>
      <c r="M271" s="502"/>
      <c r="N271" s="513"/>
      <c r="O271" s="294"/>
      <c r="P271" s="190"/>
      <c r="Q271" s="205"/>
      <c r="R271" s="521"/>
    </row>
    <row r="272" spans="1:18" ht="15" customHeight="1">
      <c r="A272" s="515"/>
      <c r="B272" s="182"/>
      <c r="C272" s="182"/>
      <c r="D272" s="182"/>
      <c r="E272" s="182"/>
      <c r="F272" s="182"/>
      <c r="G272" s="182"/>
      <c r="H272" s="182"/>
      <c r="I272" s="182"/>
      <c r="J272" s="193"/>
      <c r="K272" s="502"/>
      <c r="L272" s="502"/>
      <c r="M272" s="502"/>
      <c r="N272" s="513"/>
      <c r="O272" s="294"/>
      <c r="P272" s="190"/>
      <c r="Q272" s="205"/>
      <c r="R272" s="521"/>
    </row>
    <row r="273" spans="1:18" ht="15" customHeight="1">
      <c r="A273" s="515"/>
      <c r="B273" s="182"/>
      <c r="C273" s="182"/>
      <c r="D273" s="182"/>
      <c r="E273" s="182"/>
      <c r="F273" s="182"/>
      <c r="G273" s="182"/>
      <c r="H273" s="182"/>
      <c r="I273" s="182"/>
      <c r="J273" s="193"/>
      <c r="K273" s="502"/>
      <c r="L273" s="502"/>
      <c r="M273" s="502"/>
      <c r="N273" s="513"/>
      <c r="O273" s="294"/>
      <c r="P273" s="190"/>
      <c r="Q273" s="205"/>
      <c r="R273" s="521"/>
    </row>
    <row r="274" spans="1:18" ht="15" customHeight="1">
      <c r="A274" s="515"/>
      <c r="B274" s="182"/>
      <c r="C274" s="182"/>
      <c r="D274" s="182"/>
      <c r="E274" s="182"/>
      <c r="F274" s="182"/>
      <c r="G274" s="182"/>
      <c r="H274" s="182"/>
      <c r="I274" s="182"/>
      <c r="J274" s="193"/>
      <c r="K274" s="502"/>
      <c r="L274" s="502"/>
      <c r="M274" s="502"/>
      <c r="N274" s="513"/>
      <c r="O274" s="294"/>
      <c r="P274" s="190"/>
      <c r="Q274" s="205"/>
      <c r="R274" s="521"/>
    </row>
    <row r="275" spans="1:18" ht="15" customHeight="1">
      <c r="A275" s="515"/>
      <c r="B275" s="182"/>
      <c r="C275" s="182"/>
      <c r="D275" s="182"/>
      <c r="E275" s="182"/>
      <c r="F275" s="182"/>
      <c r="G275" s="182"/>
      <c r="H275" s="182"/>
      <c r="I275" s="182"/>
      <c r="J275" s="193"/>
      <c r="K275" s="502"/>
      <c r="L275" s="502"/>
      <c r="M275" s="502"/>
      <c r="N275" s="513"/>
      <c r="O275" s="294"/>
      <c r="P275" s="190"/>
      <c r="Q275" s="205"/>
      <c r="R275" s="521"/>
    </row>
    <row r="276" spans="1:18" ht="15" customHeight="1">
      <c r="A276" s="515"/>
      <c r="B276" s="182"/>
      <c r="C276" s="182"/>
      <c r="D276" s="182"/>
      <c r="E276" s="182"/>
      <c r="F276" s="182"/>
      <c r="G276" s="182"/>
      <c r="H276" s="182"/>
      <c r="I276" s="182"/>
      <c r="J276" s="193"/>
      <c r="K276" s="502"/>
      <c r="L276" s="502"/>
      <c r="M276" s="502"/>
      <c r="N276" s="513"/>
      <c r="O276" s="294"/>
      <c r="P276" s="190"/>
      <c r="Q276" s="205"/>
      <c r="R276" s="521"/>
    </row>
    <row r="277" spans="1:18" ht="15" customHeight="1">
      <c r="A277" s="515"/>
      <c r="B277" s="182"/>
      <c r="C277" s="182"/>
      <c r="D277" s="182"/>
      <c r="E277" s="182"/>
      <c r="F277" s="182"/>
      <c r="G277" s="182"/>
      <c r="H277" s="182"/>
      <c r="I277" s="182"/>
      <c r="J277" s="193"/>
      <c r="K277" s="502"/>
      <c r="L277" s="502"/>
      <c r="M277" s="502"/>
      <c r="N277" s="513"/>
      <c r="O277" s="294"/>
      <c r="P277" s="190"/>
      <c r="Q277" s="205"/>
      <c r="R277" s="521"/>
    </row>
    <row r="278" spans="1:18" ht="15" customHeight="1">
      <c r="A278" s="515"/>
      <c r="B278" s="182"/>
      <c r="C278" s="182"/>
      <c r="D278" s="182"/>
      <c r="E278" s="182"/>
      <c r="F278" s="182"/>
      <c r="G278" s="182"/>
      <c r="H278" s="182"/>
      <c r="I278" s="182"/>
      <c r="J278" s="193"/>
      <c r="K278" s="502"/>
      <c r="L278" s="502"/>
      <c r="M278" s="502"/>
      <c r="N278" s="513"/>
      <c r="O278" s="294"/>
      <c r="P278" s="190"/>
      <c r="Q278" s="205"/>
      <c r="R278" s="521"/>
    </row>
    <row r="279" spans="1:18" ht="15" customHeight="1">
      <c r="A279" s="515"/>
      <c r="B279" s="182"/>
      <c r="C279" s="182"/>
      <c r="D279" s="182"/>
      <c r="E279" s="182"/>
      <c r="F279" s="182"/>
      <c r="G279" s="182"/>
      <c r="H279" s="182"/>
      <c r="I279" s="182"/>
      <c r="J279" s="193"/>
      <c r="K279" s="502"/>
      <c r="L279" s="502"/>
      <c r="M279" s="502"/>
      <c r="N279" s="513"/>
      <c r="O279" s="294"/>
      <c r="P279" s="190"/>
      <c r="Q279" s="205"/>
      <c r="R279" s="521"/>
    </row>
    <row r="280" spans="1:18" ht="15" customHeight="1">
      <c r="A280" s="515"/>
      <c r="B280" s="182"/>
      <c r="C280" s="182"/>
      <c r="D280" s="182"/>
      <c r="E280" s="182"/>
      <c r="F280" s="182"/>
      <c r="G280" s="182"/>
      <c r="H280" s="182"/>
      <c r="I280" s="182"/>
      <c r="J280" s="193"/>
      <c r="K280" s="502"/>
      <c r="L280" s="502"/>
      <c r="M280" s="502"/>
      <c r="N280" s="513"/>
      <c r="O280" s="281" t="s">
        <v>24</v>
      </c>
      <c r="P280" s="251" t="s">
        <v>0</v>
      </c>
      <c r="Q280" s="252" t="s">
        <v>11</v>
      </c>
      <c r="R280" s="273">
        <f>SUM(R237:R279)</f>
        <v>5880758.3454623995</v>
      </c>
    </row>
    <row r="281" spans="1:18" ht="15" customHeight="1">
      <c r="A281" s="515"/>
      <c r="B281" s="182"/>
      <c r="C281" s="182"/>
      <c r="D281" s="182"/>
      <c r="E281" s="182"/>
      <c r="F281" s="182"/>
      <c r="G281" s="182"/>
      <c r="H281" s="182"/>
      <c r="I281" s="182"/>
      <c r="J281" s="193"/>
      <c r="K281" s="502"/>
      <c r="L281" s="502"/>
      <c r="M281" s="502"/>
      <c r="N281" s="513"/>
      <c r="O281" s="281" t="s">
        <v>25</v>
      </c>
      <c r="P281" s="251" t="s">
        <v>0</v>
      </c>
      <c r="Q281" s="252" t="s">
        <v>11</v>
      </c>
      <c r="R281" s="273">
        <f>R280</f>
        <v>5880758.3454623995</v>
      </c>
    </row>
    <row r="282" spans="1:18" ht="15" customHeight="1">
      <c r="A282" s="445"/>
      <c r="B282" s="182"/>
      <c r="C282" s="182"/>
      <c r="D282" s="182"/>
      <c r="E282" s="182"/>
      <c r="F282" s="182"/>
      <c r="G282" s="182"/>
      <c r="H282" s="182"/>
      <c r="I282" s="182"/>
      <c r="J282" s="193"/>
      <c r="K282" s="401"/>
      <c r="L282" s="401"/>
      <c r="M282" s="401"/>
      <c r="N282" s="400"/>
      <c r="O282" s="294"/>
      <c r="P282" s="190"/>
      <c r="Q282" s="205"/>
      <c r="R282" s="521"/>
    </row>
    <row r="283" spans="1:18" ht="15" customHeight="1">
      <c r="A283" s="515"/>
      <c r="B283" s="182"/>
      <c r="C283" s="182"/>
      <c r="D283" s="182"/>
      <c r="E283" s="182"/>
      <c r="F283" s="182"/>
      <c r="G283" s="182"/>
      <c r="H283" s="182"/>
      <c r="I283" s="182"/>
      <c r="J283" s="193"/>
      <c r="K283" s="502"/>
      <c r="L283" s="502"/>
      <c r="M283" s="502"/>
      <c r="N283" s="513"/>
      <c r="O283" s="294"/>
      <c r="P283" s="190"/>
      <c r="Q283" s="205"/>
      <c r="R283" s="521"/>
    </row>
    <row r="284" spans="1:18" ht="15" customHeight="1">
      <c r="A284" s="1068" t="s">
        <v>483</v>
      </c>
      <c r="B284" s="998" t="s">
        <v>415</v>
      </c>
      <c r="C284" s="998"/>
      <c r="D284" s="998"/>
      <c r="E284" s="998"/>
      <c r="F284" s="998"/>
      <c r="G284" s="998"/>
      <c r="H284" s="998"/>
      <c r="I284" s="998"/>
      <c r="J284" s="998"/>
      <c r="K284" s="998"/>
      <c r="L284" s="998"/>
      <c r="M284" s="998"/>
      <c r="N284" s="998"/>
      <c r="O284" s="998"/>
      <c r="P284" s="190"/>
      <c r="Q284" s="205"/>
      <c r="R284" s="521"/>
    </row>
    <row r="285" spans="1:18" ht="30.75" customHeight="1">
      <c r="A285" s="1068"/>
      <c r="B285" s="998"/>
      <c r="C285" s="998"/>
      <c r="D285" s="998"/>
      <c r="E285" s="998"/>
      <c r="F285" s="998"/>
      <c r="G285" s="998"/>
      <c r="H285" s="998"/>
      <c r="I285" s="998"/>
      <c r="J285" s="998"/>
      <c r="K285" s="998"/>
      <c r="L285" s="998"/>
      <c r="M285" s="998"/>
      <c r="N285" s="998"/>
      <c r="O285" s="998"/>
      <c r="P285" s="190"/>
      <c r="Q285" s="205"/>
      <c r="R285" s="521"/>
    </row>
    <row r="286" spans="1:18" ht="15" customHeight="1">
      <c r="A286" s="445"/>
      <c r="B286" s="994" t="s">
        <v>512</v>
      </c>
      <c r="C286" s="994"/>
      <c r="D286" s="994"/>
      <c r="E286" s="994"/>
      <c r="F286" s="246"/>
      <c r="G286" s="246"/>
      <c r="H286" s="203">
        <v>2</v>
      </c>
      <c r="I286" s="342" t="s">
        <v>1</v>
      </c>
      <c r="J286" s="256">
        <f>N212</f>
        <v>219.72</v>
      </c>
      <c r="K286" s="342"/>
      <c r="L286" s="186"/>
      <c r="M286" s="190" t="s">
        <v>0</v>
      </c>
      <c r="N286" s="213">
        <f>J286*H286</f>
        <v>439.44</v>
      </c>
      <c r="O286" s="265" t="s">
        <v>420</v>
      </c>
      <c r="P286" s="185"/>
      <c r="Q286" s="185"/>
    </row>
    <row r="287" spans="1:18" ht="15" customHeight="1">
      <c r="A287" s="445"/>
      <c r="B287" s="182"/>
      <c r="C287" s="182"/>
      <c r="D287" s="182"/>
      <c r="E287" s="182"/>
      <c r="F287" s="182"/>
      <c r="G287" s="182"/>
      <c r="H287" s="185"/>
      <c r="I287" s="185"/>
      <c r="J287" s="185"/>
      <c r="K287" s="996" t="s">
        <v>8</v>
      </c>
      <c r="L287" s="996"/>
      <c r="M287" s="228" t="s">
        <v>0</v>
      </c>
      <c r="N287" s="235">
        <f>SUM(N286:N286)</f>
        <v>439.44</v>
      </c>
      <c r="O287" s="360" t="s">
        <v>420</v>
      </c>
      <c r="P287" s="185"/>
      <c r="Q287" s="185"/>
    </row>
    <row r="288" spans="1:18" ht="15" customHeight="1">
      <c r="A288" s="445"/>
      <c r="B288" s="182"/>
      <c r="C288" s="182"/>
      <c r="D288" s="182"/>
      <c r="E288" s="182"/>
      <c r="F288" s="182"/>
      <c r="G288" s="182"/>
      <c r="H288" s="182"/>
      <c r="I288" s="182"/>
      <c r="J288" s="193" t="s">
        <v>350</v>
      </c>
      <c r="K288" s="344" t="s">
        <v>11</v>
      </c>
      <c r="L288" s="989">
        <v>166</v>
      </c>
      <c r="M288" s="989"/>
      <c r="N288" s="341" t="s">
        <v>421</v>
      </c>
      <c r="O288" s="294"/>
      <c r="P288" s="188" t="s">
        <v>0</v>
      </c>
      <c r="Q288" s="247" t="s">
        <v>11</v>
      </c>
      <c r="R288" s="533">
        <f>ROUND(N287*L288,0)</f>
        <v>72947</v>
      </c>
    </row>
    <row r="289" spans="1:30" ht="15" customHeight="1">
      <c r="A289" s="445"/>
      <c r="B289" s="182"/>
      <c r="C289" s="182"/>
      <c r="D289" s="182"/>
      <c r="E289" s="182"/>
      <c r="F289" s="182"/>
      <c r="G289" s="182"/>
      <c r="H289" s="182"/>
      <c r="I289" s="182"/>
      <c r="J289" s="193"/>
      <c r="K289" s="344"/>
      <c r="L289" s="344"/>
      <c r="M289" s="344"/>
      <c r="N289" s="990" t="s">
        <v>369</v>
      </c>
      <c r="O289" s="990"/>
      <c r="P289" s="251" t="s">
        <v>0</v>
      </c>
      <c r="Q289" s="252" t="s">
        <v>11</v>
      </c>
      <c r="R289" s="276">
        <f>SUM(R281:R288)</f>
        <v>5953705.3454623995</v>
      </c>
      <c r="W289" s="159"/>
      <c r="Y289" s="159"/>
      <c r="Z289" s="159"/>
      <c r="AA289" s="159"/>
      <c r="AB289" s="159"/>
      <c r="AC289" s="159"/>
      <c r="AD289" s="159"/>
    </row>
    <row r="290" spans="1:30" ht="13.5" customHeight="1">
      <c r="A290" s="497"/>
      <c r="B290" s="241"/>
      <c r="C290" s="241"/>
      <c r="D290" s="241"/>
      <c r="E290" s="241"/>
      <c r="F290" s="241"/>
      <c r="G290" s="241"/>
      <c r="H290" s="241"/>
      <c r="I290" s="241"/>
      <c r="J290" s="241"/>
      <c r="K290" s="241"/>
      <c r="L290" s="241"/>
      <c r="M290" s="241"/>
      <c r="N290" s="990" t="s">
        <v>351</v>
      </c>
      <c r="O290" s="990"/>
      <c r="P290" s="254" t="s">
        <v>0</v>
      </c>
      <c r="Q290" s="255" t="s">
        <v>11</v>
      </c>
      <c r="R290" s="273">
        <f>R289</f>
        <v>5953705.3454623995</v>
      </c>
      <c r="X290" s="159"/>
    </row>
    <row r="291" spans="1:30" ht="13.5" customHeight="1">
      <c r="A291" s="497"/>
      <c r="B291" s="241"/>
      <c r="C291" s="241"/>
      <c r="D291" s="241"/>
      <c r="E291" s="241"/>
      <c r="F291" s="241"/>
      <c r="G291" s="241"/>
      <c r="H291" s="241"/>
      <c r="I291" s="241"/>
      <c r="J291" s="241"/>
      <c r="K291" s="241"/>
      <c r="L291" s="241"/>
      <c r="M291" s="241"/>
      <c r="N291" s="402"/>
      <c r="O291" s="402"/>
      <c r="P291" s="254"/>
      <c r="Q291" s="255"/>
      <c r="R291" s="273"/>
    </row>
    <row r="292" spans="1:30" ht="13.5" customHeight="1">
      <c r="A292" s="497"/>
      <c r="B292" s="241"/>
      <c r="C292" s="241"/>
      <c r="D292" s="241"/>
      <c r="E292" s="241"/>
      <c r="F292" s="241"/>
      <c r="G292" s="241"/>
      <c r="H292" s="241"/>
      <c r="I292" s="241"/>
      <c r="J292" s="241"/>
      <c r="K292" s="241"/>
      <c r="L292" s="241"/>
      <c r="M292" s="241"/>
      <c r="N292" s="402"/>
      <c r="O292" s="402"/>
      <c r="P292" s="254"/>
      <c r="Q292" s="255"/>
      <c r="R292" s="273"/>
    </row>
    <row r="293" spans="1:30" ht="13.5" customHeight="1">
      <c r="A293" s="497"/>
      <c r="B293" s="241"/>
      <c r="C293" s="241"/>
      <c r="D293" s="241"/>
      <c r="E293" s="241"/>
      <c r="F293" s="241"/>
      <c r="G293" s="241"/>
      <c r="H293" s="241"/>
      <c r="I293" s="241"/>
      <c r="J293" s="241"/>
      <c r="K293" s="241"/>
      <c r="L293" s="241"/>
      <c r="M293" s="241"/>
      <c r="N293" s="345"/>
      <c r="O293" s="285"/>
      <c r="P293" s="254"/>
      <c r="Q293" s="255"/>
      <c r="R293" s="273"/>
      <c r="W293" s="250"/>
    </row>
    <row r="294" spans="1:30" ht="21" customHeight="1">
      <c r="A294" s="991" t="s">
        <v>431</v>
      </c>
      <c r="B294" s="991"/>
      <c r="C294" s="991"/>
      <c r="D294" s="991"/>
      <c r="E294" s="991"/>
      <c r="F294" s="991"/>
      <c r="G294" s="991"/>
      <c r="H294" s="991"/>
      <c r="I294" s="991"/>
      <c r="J294" s="991"/>
      <c r="K294" s="991"/>
      <c r="L294" s="991"/>
      <c r="M294" s="991"/>
      <c r="N294" s="991"/>
      <c r="O294" s="991"/>
      <c r="P294" s="991"/>
      <c r="Q294" s="991"/>
      <c r="R294" s="991"/>
    </row>
    <row r="295" spans="1:30" ht="13.5" customHeight="1">
      <c r="A295" s="991"/>
      <c r="B295" s="991"/>
      <c r="C295" s="991"/>
      <c r="D295" s="991"/>
      <c r="E295" s="991"/>
      <c r="F295" s="991"/>
      <c r="G295" s="991"/>
      <c r="H295" s="991"/>
      <c r="I295" s="991"/>
      <c r="J295" s="991"/>
      <c r="K295" s="991"/>
      <c r="L295" s="991"/>
      <c r="M295" s="991"/>
      <c r="N295" s="991"/>
      <c r="O295" s="991"/>
      <c r="P295" s="991"/>
      <c r="Q295" s="991"/>
      <c r="R295" s="991"/>
    </row>
    <row r="296" spans="1:30" s="159" customFormat="1" ht="14.25" customHeight="1">
      <c r="A296" s="281"/>
      <c r="B296" s="192"/>
      <c r="C296" s="192"/>
      <c r="D296" s="192"/>
      <c r="E296" s="192"/>
      <c r="F296" s="237"/>
      <c r="G296" s="205"/>
      <c r="H296" s="192"/>
      <c r="I296" s="238"/>
      <c r="J296" s="213"/>
      <c r="K296" s="192"/>
      <c r="L296" s="187"/>
      <c r="M296" s="343"/>
      <c r="N296" s="192"/>
      <c r="O296" s="294"/>
      <c r="P296" s="192"/>
      <c r="Q296" s="205"/>
      <c r="R296" s="521"/>
      <c r="W296" s="157"/>
      <c r="X296" s="157"/>
      <c r="Y296" s="157"/>
      <c r="Z296" s="157"/>
      <c r="AA296" s="157"/>
      <c r="AB296" s="157"/>
      <c r="AC296" s="157"/>
      <c r="AD296" s="157"/>
    </row>
    <row r="297" spans="1:30" s="159" customFormat="1" ht="14.25" customHeight="1">
      <c r="A297" s="281"/>
      <c r="B297" s="192"/>
      <c r="C297" s="192"/>
      <c r="D297" s="192"/>
      <c r="E297" s="192"/>
      <c r="F297" s="237"/>
      <c r="G297" s="205"/>
      <c r="H297" s="192"/>
      <c r="I297" s="238"/>
      <c r="J297" s="213"/>
      <c r="K297" s="192"/>
      <c r="L297" s="187"/>
      <c r="M297" s="398"/>
      <c r="N297" s="192"/>
      <c r="O297" s="294"/>
      <c r="P297" s="192"/>
      <c r="Q297" s="205"/>
      <c r="R297" s="521"/>
      <c r="W297" s="157"/>
      <c r="X297" s="157"/>
      <c r="Y297" s="157"/>
      <c r="Z297" s="157"/>
      <c r="AA297" s="157"/>
      <c r="AB297" s="157"/>
      <c r="AC297" s="157"/>
      <c r="AD297" s="157"/>
    </row>
    <row r="298" spans="1:30" s="159" customFormat="1" ht="14.25" customHeight="1">
      <c r="A298" s="281"/>
      <c r="B298" s="192"/>
      <c r="C298" s="192"/>
      <c r="D298" s="192"/>
      <c r="E298" s="192"/>
      <c r="F298" s="237"/>
      <c r="G298" s="205"/>
      <c r="H298" s="192"/>
      <c r="I298" s="238"/>
      <c r="J298" s="213"/>
      <c r="K298" s="192"/>
      <c r="L298" s="187"/>
      <c r="M298" s="398"/>
      <c r="N298" s="192"/>
      <c r="O298" s="294"/>
      <c r="P298" s="192"/>
      <c r="Q298" s="205"/>
      <c r="R298" s="521"/>
      <c r="W298" s="157"/>
      <c r="X298" s="157"/>
      <c r="Y298" s="157"/>
      <c r="Z298" s="157"/>
      <c r="AA298" s="157"/>
      <c r="AB298" s="157"/>
      <c r="AC298" s="157"/>
      <c r="AD298" s="157"/>
    </row>
    <row r="299" spans="1:30" s="159" customFormat="1" ht="14.25" customHeight="1">
      <c r="A299" s="281"/>
      <c r="B299" s="192"/>
      <c r="C299" s="192"/>
      <c r="D299" s="192"/>
      <c r="E299" s="192"/>
      <c r="F299" s="237"/>
      <c r="G299" s="205"/>
      <c r="H299" s="192"/>
      <c r="I299" s="238"/>
      <c r="J299" s="213"/>
      <c r="K299" s="192"/>
      <c r="L299" s="187"/>
      <c r="M299" s="398"/>
      <c r="N299" s="192"/>
      <c r="O299" s="294"/>
      <c r="P299" s="192"/>
      <c r="Q299" s="205"/>
      <c r="R299" s="521"/>
      <c r="W299" s="157"/>
      <c r="X299" s="157"/>
      <c r="Y299" s="157"/>
      <c r="Z299" s="157"/>
      <c r="AA299" s="157"/>
      <c r="AB299" s="157"/>
      <c r="AC299" s="157"/>
      <c r="AD299" s="157"/>
    </row>
    <row r="300" spans="1:30" ht="15" customHeight="1">
      <c r="A300" s="281"/>
      <c r="B300" s="192"/>
      <c r="C300" s="192"/>
      <c r="D300" s="192"/>
      <c r="E300" s="192"/>
      <c r="F300" s="237"/>
      <c r="G300" s="205"/>
      <c r="H300" s="192"/>
      <c r="I300" s="238"/>
      <c r="J300" s="239"/>
      <c r="K300" s="237"/>
      <c r="L300" s="191"/>
      <c r="M300" s="191"/>
      <c r="N300" s="240"/>
      <c r="O300" s="294"/>
      <c r="P300" s="190"/>
      <c r="Q300" s="205"/>
      <c r="R300" s="521"/>
    </row>
    <row r="301" spans="1:30" ht="13.5" customHeight="1">
      <c r="A301" s="992" t="s">
        <v>356</v>
      </c>
      <c r="B301" s="992"/>
      <c r="C301" s="992"/>
      <c r="D301" s="992"/>
      <c r="E301" s="992"/>
      <c r="F301" s="992"/>
      <c r="G301" s="992"/>
      <c r="H301" s="992"/>
      <c r="I301" s="992"/>
      <c r="J301" s="992"/>
      <c r="K301" s="992"/>
      <c r="L301" s="992"/>
      <c r="M301" s="992"/>
      <c r="N301" s="992"/>
      <c r="O301" s="992"/>
      <c r="P301" s="992"/>
      <c r="Q301" s="992"/>
      <c r="R301" s="992"/>
    </row>
    <row r="302" spans="1:30" ht="27.75" customHeight="1">
      <c r="A302" s="445"/>
      <c r="B302" s="162"/>
      <c r="C302" s="162"/>
      <c r="D302" s="162"/>
      <c r="E302" s="162"/>
      <c r="F302" s="165"/>
      <c r="G302" s="166"/>
      <c r="H302" s="162"/>
      <c r="I302" s="179"/>
      <c r="J302" s="167"/>
      <c r="K302" s="162"/>
      <c r="L302" s="163"/>
      <c r="M302" s="169"/>
      <c r="N302" s="164"/>
      <c r="O302" s="286"/>
      <c r="P302" s="164"/>
      <c r="Q302" s="170"/>
      <c r="R302" s="521"/>
    </row>
    <row r="303" spans="1:30">
      <c r="A303" s="445"/>
      <c r="B303" s="162"/>
      <c r="C303" s="162"/>
      <c r="D303" s="162"/>
      <c r="E303" s="162"/>
      <c r="F303" s="165"/>
      <c r="G303" s="166"/>
      <c r="H303" s="162"/>
      <c r="I303" s="179"/>
      <c r="J303" s="167"/>
      <c r="K303" s="162"/>
      <c r="L303" s="163"/>
      <c r="M303" s="169"/>
      <c r="N303" s="164"/>
      <c r="O303" s="286"/>
      <c r="P303" s="164"/>
      <c r="Q303" s="170"/>
      <c r="R303" s="521"/>
    </row>
    <row r="304" spans="1:30">
      <c r="A304" s="445"/>
      <c r="B304" s="162"/>
      <c r="C304" s="162"/>
      <c r="D304" s="162"/>
      <c r="E304" s="162"/>
      <c r="F304" s="165"/>
      <c r="G304" s="166"/>
      <c r="H304" s="162"/>
      <c r="I304" s="179"/>
      <c r="J304" s="167"/>
      <c r="K304" s="162"/>
      <c r="L304" s="163"/>
      <c r="M304" s="169"/>
      <c r="N304" s="164"/>
      <c r="O304" s="286"/>
      <c r="P304" s="164"/>
      <c r="Q304" s="170"/>
      <c r="R304" s="521"/>
    </row>
    <row r="305" spans="1:18" ht="14.25" customHeight="1">
      <c r="A305" s="445"/>
      <c r="B305" s="162"/>
      <c r="C305" s="162"/>
      <c r="D305" s="162"/>
      <c r="E305" s="162"/>
      <c r="F305" s="165"/>
      <c r="G305" s="166"/>
      <c r="H305" s="162"/>
      <c r="I305" s="179"/>
      <c r="J305" s="167"/>
      <c r="K305" s="162"/>
      <c r="L305" s="163"/>
      <c r="M305" s="169"/>
      <c r="N305" s="164"/>
      <c r="O305" s="286"/>
      <c r="P305" s="164"/>
      <c r="Q305" s="170"/>
      <c r="R305" s="521"/>
    </row>
    <row r="306" spans="1:18" ht="26.25" customHeight="1">
      <c r="A306" s="445"/>
      <c r="B306" s="162"/>
      <c r="C306" s="162"/>
      <c r="D306" s="162"/>
      <c r="E306" s="162"/>
      <c r="F306" s="165"/>
      <c r="G306" s="166"/>
      <c r="H306" s="162"/>
      <c r="I306" s="179"/>
      <c r="J306" s="167"/>
      <c r="K306" s="162"/>
      <c r="L306" s="163"/>
      <c r="M306" s="169"/>
      <c r="N306" s="164"/>
      <c r="O306" s="286"/>
      <c r="P306" s="164"/>
      <c r="Q306" s="170"/>
      <c r="R306" s="521"/>
    </row>
    <row r="307" spans="1:18">
      <c r="A307" s="445"/>
      <c r="B307" s="162"/>
      <c r="C307" s="162"/>
      <c r="D307" s="162"/>
      <c r="E307" s="162"/>
      <c r="F307" s="165"/>
      <c r="G307" s="166"/>
      <c r="H307" s="162"/>
      <c r="I307" s="179"/>
      <c r="J307" s="167"/>
      <c r="K307" s="162"/>
      <c r="L307" s="163"/>
      <c r="M307" s="169"/>
      <c r="N307" s="164"/>
      <c r="O307" s="286"/>
      <c r="P307" s="164"/>
      <c r="Q307" s="170"/>
      <c r="R307" s="521"/>
    </row>
    <row r="308" spans="1:18" ht="13.5" customHeight="1">
      <c r="A308" s="445"/>
      <c r="B308" s="162"/>
      <c r="C308" s="162"/>
      <c r="D308" s="162"/>
      <c r="E308" s="162"/>
      <c r="F308" s="165"/>
      <c r="G308" s="166"/>
      <c r="H308" s="162"/>
      <c r="I308" s="179"/>
      <c r="J308" s="167"/>
      <c r="K308" s="162"/>
      <c r="L308" s="163"/>
      <c r="M308" s="169"/>
      <c r="N308" s="164"/>
      <c r="O308" s="286"/>
      <c r="P308" s="164"/>
      <c r="Q308" s="170"/>
      <c r="R308" s="521"/>
    </row>
    <row r="309" spans="1:18">
      <c r="A309" s="445"/>
      <c r="B309" s="162"/>
      <c r="C309" s="162"/>
      <c r="D309" s="162"/>
      <c r="E309" s="162"/>
      <c r="F309" s="165"/>
      <c r="G309" s="166"/>
      <c r="H309" s="162"/>
      <c r="I309" s="179"/>
      <c r="J309" s="167"/>
      <c r="K309" s="162"/>
      <c r="L309" s="163"/>
      <c r="M309" s="169"/>
      <c r="N309" s="164"/>
      <c r="O309" s="286"/>
      <c r="P309" s="164"/>
      <c r="Q309" s="170"/>
      <c r="R309" s="521"/>
    </row>
    <row r="310" spans="1:18">
      <c r="A310" s="445"/>
      <c r="B310" s="162"/>
      <c r="C310" s="162"/>
      <c r="D310" s="162"/>
      <c r="E310" s="162"/>
      <c r="F310" s="165"/>
      <c r="G310" s="166"/>
      <c r="H310" s="162"/>
      <c r="I310" s="179"/>
      <c r="J310" s="167"/>
      <c r="K310" s="162"/>
      <c r="L310" s="163"/>
      <c r="M310" s="169"/>
      <c r="N310" s="164"/>
      <c r="O310" s="286"/>
      <c r="P310" s="164"/>
      <c r="Q310" s="170"/>
      <c r="R310" s="521"/>
    </row>
    <row r="311" spans="1:18" ht="15.75" customHeight="1">
      <c r="A311" s="445"/>
      <c r="B311" s="162"/>
      <c r="C311" s="162"/>
      <c r="D311" s="162"/>
      <c r="E311" s="162"/>
      <c r="F311" s="165"/>
      <c r="G311" s="166"/>
      <c r="H311" s="162"/>
      <c r="I311" s="179"/>
      <c r="J311" s="167"/>
      <c r="K311" s="162"/>
      <c r="L311" s="163"/>
      <c r="M311" s="169"/>
      <c r="N311" s="164"/>
      <c r="O311" s="286"/>
      <c r="P311" s="164"/>
      <c r="Q311" s="170"/>
      <c r="R311" s="521"/>
    </row>
    <row r="312" spans="1:18" ht="15" customHeight="1">
      <c r="A312" s="445"/>
      <c r="B312" s="162"/>
      <c r="C312" s="162"/>
      <c r="D312" s="162"/>
      <c r="E312" s="162"/>
      <c r="F312" s="165"/>
      <c r="G312" s="166"/>
      <c r="H312" s="162"/>
      <c r="I312" s="179"/>
      <c r="J312" s="167"/>
      <c r="K312" s="162"/>
      <c r="L312" s="163"/>
      <c r="M312" s="169"/>
      <c r="N312" s="164"/>
      <c r="O312" s="286"/>
      <c r="P312" s="164"/>
      <c r="Q312" s="170"/>
      <c r="R312" s="521"/>
    </row>
    <row r="313" spans="1:18" ht="15" customHeight="1">
      <c r="A313" s="445"/>
      <c r="B313" s="162"/>
      <c r="C313" s="162"/>
      <c r="D313" s="162"/>
      <c r="E313" s="162"/>
      <c r="F313" s="165"/>
      <c r="G313" s="166"/>
      <c r="H313" s="162"/>
      <c r="I313" s="179"/>
      <c r="J313" s="167"/>
      <c r="K313" s="162"/>
      <c r="L313" s="163"/>
      <c r="M313" s="169"/>
      <c r="N313" s="164"/>
      <c r="O313" s="286"/>
      <c r="P313" s="164"/>
      <c r="Q313" s="170"/>
      <c r="R313" s="521"/>
    </row>
    <row r="314" spans="1:18" ht="15" customHeight="1">
      <c r="A314" s="445"/>
      <c r="B314" s="162"/>
      <c r="C314" s="162"/>
      <c r="D314" s="162"/>
      <c r="E314" s="162"/>
      <c r="F314" s="165"/>
      <c r="G314" s="166"/>
      <c r="H314" s="162"/>
      <c r="I314" s="179"/>
      <c r="J314" s="167"/>
      <c r="K314" s="162"/>
      <c r="L314" s="163"/>
      <c r="M314" s="169"/>
      <c r="N314" s="164"/>
      <c r="O314" s="286"/>
      <c r="P314" s="164"/>
      <c r="Q314" s="170"/>
      <c r="R314" s="521"/>
    </row>
    <row r="315" spans="1:18" ht="15" customHeight="1">
      <c r="A315" s="445"/>
      <c r="B315" s="162"/>
      <c r="C315" s="162"/>
      <c r="D315" s="162"/>
      <c r="E315" s="162"/>
      <c r="F315" s="165"/>
      <c r="G315" s="166"/>
      <c r="H315" s="162"/>
      <c r="I315" s="179"/>
      <c r="J315" s="167"/>
      <c r="K315" s="162"/>
      <c r="L315" s="163"/>
      <c r="M315" s="169"/>
      <c r="N315" s="164"/>
      <c r="O315" s="286"/>
      <c r="P315" s="164"/>
      <c r="Q315" s="170"/>
      <c r="R315" s="521"/>
    </row>
    <row r="316" spans="1:18" ht="14.25" customHeight="1">
      <c r="A316" s="445"/>
      <c r="B316" s="162"/>
      <c r="C316" s="162"/>
      <c r="D316" s="162"/>
      <c r="E316" s="162"/>
      <c r="F316" s="165"/>
      <c r="G316" s="166"/>
      <c r="H316" s="162"/>
      <c r="I316" s="179"/>
      <c r="J316" s="167"/>
      <c r="K316" s="162"/>
      <c r="L316" s="163"/>
      <c r="M316" s="169"/>
      <c r="N316" s="164"/>
      <c r="O316" s="286"/>
      <c r="P316" s="164"/>
      <c r="Q316" s="170"/>
      <c r="R316" s="521"/>
    </row>
    <row r="317" spans="1:18" ht="13.5" customHeight="1">
      <c r="A317" s="445"/>
      <c r="B317" s="162"/>
      <c r="C317" s="162"/>
      <c r="D317" s="162"/>
      <c r="E317" s="162"/>
      <c r="F317" s="165"/>
      <c r="G317" s="166"/>
      <c r="H317" s="162"/>
      <c r="I317" s="179"/>
      <c r="J317" s="167"/>
      <c r="K317" s="162"/>
      <c r="L317" s="163"/>
      <c r="M317" s="169"/>
      <c r="N317" s="164"/>
      <c r="O317" s="286"/>
      <c r="P317" s="164"/>
      <c r="Q317" s="170"/>
      <c r="R317" s="521"/>
    </row>
    <row r="318" spans="1:18" ht="13.5" customHeight="1">
      <c r="A318" s="445"/>
      <c r="B318" s="162"/>
      <c r="C318" s="162"/>
      <c r="D318" s="162"/>
      <c r="E318" s="162"/>
      <c r="F318" s="165"/>
      <c r="G318" s="166"/>
      <c r="H318" s="162"/>
      <c r="I318" s="179"/>
      <c r="J318" s="167"/>
      <c r="K318" s="162"/>
      <c r="L318" s="163"/>
      <c r="M318" s="169"/>
      <c r="N318" s="164"/>
      <c r="O318" s="286"/>
      <c r="P318" s="164"/>
      <c r="Q318" s="170"/>
      <c r="R318" s="521"/>
    </row>
    <row r="319" spans="1:18" ht="13.5" customHeight="1">
      <c r="A319" s="445"/>
      <c r="B319" s="162"/>
      <c r="C319" s="162"/>
      <c r="D319" s="162"/>
      <c r="E319" s="162"/>
      <c r="F319" s="165"/>
      <c r="G319" s="166"/>
      <c r="H319" s="162"/>
      <c r="I319" s="179"/>
      <c r="J319" s="167"/>
      <c r="K319" s="162"/>
      <c r="L319" s="163"/>
      <c r="M319" s="169"/>
      <c r="N319" s="164"/>
      <c r="O319" s="286"/>
      <c r="P319" s="164"/>
      <c r="Q319" s="170"/>
      <c r="R319" s="521"/>
    </row>
    <row r="320" spans="1:18" ht="15" customHeight="1">
      <c r="A320" s="445"/>
      <c r="B320" s="162"/>
      <c r="C320" s="162"/>
      <c r="D320" s="162"/>
      <c r="E320" s="162"/>
      <c r="F320" s="165"/>
      <c r="G320" s="166"/>
      <c r="H320" s="162"/>
      <c r="I320" s="179"/>
      <c r="J320" s="167"/>
      <c r="K320" s="162"/>
      <c r="L320" s="163"/>
      <c r="M320" s="169"/>
      <c r="N320" s="164"/>
      <c r="O320" s="286"/>
      <c r="P320" s="164"/>
      <c r="Q320" s="170"/>
      <c r="R320" s="521"/>
    </row>
    <row r="321" spans="1:30" ht="15.75" customHeight="1">
      <c r="A321" s="445"/>
      <c r="B321" s="162"/>
      <c r="C321" s="162"/>
      <c r="D321" s="162"/>
      <c r="E321" s="162"/>
      <c r="F321" s="165"/>
      <c r="G321" s="166"/>
      <c r="H321" s="162"/>
      <c r="I321" s="179"/>
      <c r="J321" s="167"/>
      <c r="K321" s="162"/>
      <c r="L321" s="163"/>
      <c r="M321" s="169"/>
      <c r="N321" s="164"/>
      <c r="O321" s="286"/>
      <c r="P321" s="164"/>
      <c r="Q321" s="170"/>
      <c r="R321" s="521"/>
    </row>
    <row r="322" spans="1:30" ht="16.5" customHeight="1">
      <c r="A322" s="445"/>
      <c r="B322" s="162"/>
      <c r="C322" s="162"/>
      <c r="D322" s="162"/>
      <c r="E322" s="162"/>
      <c r="F322" s="165"/>
      <c r="G322" s="166"/>
      <c r="H322" s="162"/>
      <c r="I322" s="179"/>
      <c r="J322" s="167"/>
      <c r="K322" s="162"/>
      <c r="L322" s="163"/>
      <c r="M322" s="169"/>
      <c r="N322" s="164"/>
      <c r="O322" s="286"/>
      <c r="P322" s="164"/>
      <c r="Q322" s="170"/>
      <c r="R322" s="521"/>
    </row>
    <row r="323" spans="1:30" ht="12.75" customHeight="1">
      <c r="A323" s="445"/>
      <c r="B323" s="162"/>
      <c r="C323" s="162"/>
      <c r="D323" s="162"/>
      <c r="E323" s="162"/>
      <c r="F323" s="165"/>
      <c r="G323" s="166"/>
      <c r="H323" s="162"/>
      <c r="I323" s="179"/>
      <c r="J323" s="167"/>
      <c r="K323" s="162"/>
      <c r="L323" s="163"/>
      <c r="M323" s="169"/>
      <c r="N323" s="164"/>
      <c r="O323" s="286"/>
      <c r="P323" s="164"/>
      <c r="Q323" s="170"/>
      <c r="R323" s="521"/>
    </row>
    <row r="324" spans="1:30" ht="15" customHeight="1">
      <c r="A324" s="445"/>
      <c r="B324" s="162"/>
      <c r="C324" s="162"/>
      <c r="D324" s="162"/>
      <c r="E324" s="162"/>
      <c r="F324" s="165"/>
      <c r="G324" s="166"/>
      <c r="H324" s="162"/>
      <c r="I324" s="179"/>
      <c r="J324" s="167"/>
      <c r="K324" s="162"/>
      <c r="L324" s="163"/>
      <c r="M324" s="169"/>
      <c r="N324" s="164"/>
      <c r="O324" s="286"/>
      <c r="P324" s="164"/>
      <c r="Q324" s="170"/>
      <c r="R324" s="521"/>
    </row>
    <row r="325" spans="1:30" ht="14.25" customHeight="1">
      <c r="A325" s="445"/>
      <c r="B325" s="162"/>
      <c r="C325" s="162"/>
      <c r="D325" s="162"/>
      <c r="E325" s="162"/>
      <c r="F325" s="165"/>
      <c r="G325" s="166"/>
      <c r="H325" s="162"/>
      <c r="I325" s="179"/>
      <c r="J325" s="167"/>
      <c r="K325" s="162"/>
      <c r="L325" s="163"/>
      <c r="M325" s="169"/>
      <c r="N325" s="164"/>
      <c r="O325" s="286"/>
      <c r="P325" s="164"/>
      <c r="Q325" s="170"/>
      <c r="R325" s="521"/>
    </row>
    <row r="326" spans="1:30" s="267" customFormat="1" ht="14.25" customHeight="1">
      <c r="A326" s="493"/>
      <c r="B326" s="157"/>
      <c r="C326" s="157"/>
      <c r="D326" s="157"/>
      <c r="E326" s="157"/>
      <c r="F326" s="157"/>
      <c r="G326" s="157"/>
      <c r="H326" s="157"/>
      <c r="I326" s="157"/>
      <c r="J326" s="157"/>
      <c r="K326" s="157"/>
      <c r="L326" s="157"/>
      <c r="M326" s="157"/>
      <c r="N326" s="157"/>
      <c r="P326" s="157"/>
      <c r="Q326" s="157"/>
      <c r="R326" s="528"/>
      <c r="S326" s="157"/>
      <c r="T326" s="157"/>
      <c r="U326" s="157"/>
      <c r="V326" s="157"/>
      <c r="W326" s="157"/>
      <c r="X326" s="157"/>
      <c r="Y326" s="157"/>
      <c r="Z326" s="157"/>
      <c r="AA326" s="157"/>
      <c r="AB326" s="157"/>
      <c r="AC326" s="157"/>
      <c r="AD326" s="157"/>
    </row>
    <row r="344" spans="1:30" s="267" customFormat="1" ht="12.75" customHeight="1">
      <c r="A344" s="493"/>
      <c r="B344" s="157"/>
      <c r="C344" s="157"/>
      <c r="D344" s="157"/>
      <c r="E344" s="157"/>
      <c r="F344" s="157"/>
      <c r="G344" s="157"/>
      <c r="H344" s="157"/>
      <c r="I344" s="157"/>
      <c r="J344" s="157"/>
      <c r="K344" s="157"/>
      <c r="L344" s="157"/>
      <c r="M344" s="157"/>
      <c r="N344" s="157"/>
      <c r="P344" s="157"/>
      <c r="Q344" s="157"/>
      <c r="R344" s="528"/>
      <c r="S344" s="157"/>
      <c r="T344" s="157"/>
      <c r="U344" s="157"/>
      <c r="V344" s="157"/>
      <c r="W344" s="157"/>
      <c r="X344" s="157"/>
      <c r="Y344" s="157"/>
      <c r="Z344" s="157"/>
      <c r="AA344" s="157"/>
      <c r="AB344" s="157"/>
      <c r="AC344" s="157"/>
      <c r="AD344" s="157"/>
    </row>
  </sheetData>
  <mergeCells count="145">
    <mergeCell ref="B251:E251"/>
    <mergeCell ref="B252:G257"/>
    <mergeCell ref="K172:L172"/>
    <mergeCell ref="L173:M173"/>
    <mergeCell ref="K140:L140"/>
    <mergeCell ref="L141:M141"/>
    <mergeCell ref="L186:M186"/>
    <mergeCell ref="B199:O199"/>
    <mergeCell ref="K212:L212"/>
    <mergeCell ref="L214:M214"/>
    <mergeCell ref="B170:C170"/>
    <mergeCell ref="B143:O143"/>
    <mergeCell ref="B167:E167"/>
    <mergeCell ref="B169:J169"/>
    <mergeCell ref="B176:O176"/>
    <mergeCell ref="K192:L192"/>
    <mergeCell ref="L194:M194"/>
    <mergeCell ref="B144:J144"/>
    <mergeCell ref="B145:E145"/>
    <mergeCell ref="B147:J147"/>
    <mergeCell ref="B148:E148"/>
    <mergeCell ref="N151:N152"/>
    <mergeCell ref="O151:O152"/>
    <mergeCell ref="K184:L184"/>
    <mergeCell ref="X41:Y41"/>
    <mergeCell ref="I42:J42"/>
    <mergeCell ref="I48:J48"/>
    <mergeCell ref="B101:G101"/>
    <mergeCell ref="I103:J103"/>
    <mergeCell ref="B95:F95"/>
    <mergeCell ref="B96:F96"/>
    <mergeCell ref="B97:F97"/>
    <mergeCell ref="B98:F98"/>
    <mergeCell ref="I100:J100"/>
    <mergeCell ref="X48:AB48"/>
    <mergeCell ref="X53:Y53"/>
    <mergeCell ref="I54:J54"/>
    <mergeCell ref="B55:I55"/>
    <mergeCell ref="X58:Y58"/>
    <mergeCell ref="I59:J59"/>
    <mergeCell ref="B60:H60"/>
    <mergeCell ref="B61:G61"/>
    <mergeCell ref="I64:J64"/>
    <mergeCell ref="X64:AB64"/>
    <mergeCell ref="I71:J71"/>
    <mergeCell ref="B68:F69"/>
    <mergeCell ref="B81:H81"/>
    <mergeCell ref="B94:J94"/>
    <mergeCell ref="A1:R2"/>
    <mergeCell ref="A3:R3"/>
    <mergeCell ref="B36:O36"/>
    <mergeCell ref="B37:J37"/>
    <mergeCell ref="B44:H44"/>
    <mergeCell ref="B45:G45"/>
    <mergeCell ref="B19:F19"/>
    <mergeCell ref="B21:E22"/>
    <mergeCell ref="B5:O5"/>
    <mergeCell ref="B6:O6"/>
    <mergeCell ref="K9:L9"/>
    <mergeCell ref="L10:M10"/>
    <mergeCell ref="B12:O12"/>
    <mergeCell ref="K14:L14"/>
    <mergeCell ref="L15:M15"/>
    <mergeCell ref="B18:O18"/>
    <mergeCell ref="B8:E9"/>
    <mergeCell ref="B38:I38"/>
    <mergeCell ref="K22:L22"/>
    <mergeCell ref="L23:M23"/>
    <mergeCell ref="B25:O25"/>
    <mergeCell ref="B27:C27"/>
    <mergeCell ref="K28:L28"/>
    <mergeCell ref="L29:M29"/>
    <mergeCell ref="N290:O290"/>
    <mergeCell ref="A294:R295"/>
    <mergeCell ref="A301:R301"/>
    <mergeCell ref="A284:A285"/>
    <mergeCell ref="B284:O285"/>
    <mergeCell ref="K287:L287"/>
    <mergeCell ref="L288:M288"/>
    <mergeCell ref="A261:A262"/>
    <mergeCell ref="B261:N262"/>
    <mergeCell ref="K265:L265"/>
    <mergeCell ref="L266:M266"/>
    <mergeCell ref="B263:E263"/>
    <mergeCell ref="B26:F26"/>
    <mergeCell ref="N289:O289"/>
    <mergeCell ref="K256:L256"/>
    <mergeCell ref="L257:M257"/>
    <mergeCell ref="L220:M220"/>
    <mergeCell ref="B222:O222"/>
    <mergeCell ref="K228:L228"/>
    <mergeCell ref="L229:M229"/>
    <mergeCell ref="B240:O240"/>
    <mergeCell ref="B223:F223"/>
    <mergeCell ref="B224:F224"/>
    <mergeCell ref="B286:E286"/>
    <mergeCell ref="L246:M246"/>
    <mergeCell ref="B250:O250"/>
    <mergeCell ref="B216:O216"/>
    <mergeCell ref="B217:E217"/>
    <mergeCell ref="F217:H217"/>
    <mergeCell ref="B134:J134"/>
    <mergeCell ref="B82:F82"/>
    <mergeCell ref="B83:F83"/>
    <mergeCell ref="B84:F84"/>
    <mergeCell ref="B85:F85"/>
    <mergeCell ref="I87:J87"/>
    <mergeCell ref="B50:I50"/>
    <mergeCell ref="B89:G89"/>
    <mergeCell ref="I91:J91"/>
    <mergeCell ref="B93:H93"/>
    <mergeCell ref="B135:E135"/>
    <mergeCell ref="B138:E138"/>
    <mergeCell ref="H122:L122"/>
    <mergeCell ref="L124:M124"/>
    <mergeCell ref="I111:J111"/>
    <mergeCell ref="B118:G118"/>
    <mergeCell ref="I120:J120"/>
    <mergeCell ref="B105:H105"/>
    <mergeCell ref="B106:F106"/>
    <mergeCell ref="B107:F107"/>
    <mergeCell ref="B108:F108"/>
    <mergeCell ref="B109:F109"/>
    <mergeCell ref="I117:J117"/>
    <mergeCell ref="B201:E201"/>
    <mergeCell ref="B203:E203"/>
    <mergeCell ref="B204:E204"/>
    <mergeCell ref="B227:D227"/>
    <mergeCell ref="B241:F241"/>
    <mergeCell ref="B242:F242"/>
    <mergeCell ref="B112:F112"/>
    <mergeCell ref="B113:F113"/>
    <mergeCell ref="B114:F114"/>
    <mergeCell ref="B115:F115"/>
    <mergeCell ref="B132:E132"/>
    <mergeCell ref="B131:J131"/>
    <mergeCell ref="I121:L121"/>
    <mergeCell ref="B130:O130"/>
    <mergeCell ref="B137:E137"/>
    <mergeCell ref="B177:D177"/>
    <mergeCell ref="K181:L181"/>
    <mergeCell ref="H182:L182"/>
    <mergeCell ref="H183:L183"/>
    <mergeCell ref="B188:O188"/>
    <mergeCell ref="C190:H190"/>
  </mergeCells>
  <pageMargins left="0.39" right="0.46" top="0.6" bottom="0.4" header="0.43" footer="0.4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AD237"/>
  <sheetViews>
    <sheetView view="pageBreakPreview" topLeftCell="A136" zoomScale="115" zoomScaleNormal="85" zoomScaleSheetLayoutView="115" workbookViewId="0">
      <selection activeCell="L147" sqref="L147:M147"/>
    </sheetView>
  </sheetViews>
  <sheetFormatPr defaultRowHeight="16.5"/>
  <cols>
    <col min="1" max="1" width="6.42578125" style="267"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85546875" style="157" customWidth="1"/>
    <col min="11" max="11" width="2.7109375" style="157" customWidth="1"/>
    <col min="12" max="12" width="7.28515625" style="157" customWidth="1"/>
    <col min="13" max="13" width="3.140625" style="157" customWidth="1"/>
    <col min="14" max="14" width="10"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15" customHeight="1">
      <c r="A1" s="1030" t="s">
        <v>426</v>
      </c>
      <c r="B1" s="1030"/>
      <c r="C1" s="1030"/>
      <c r="D1" s="1030"/>
      <c r="E1" s="1030"/>
      <c r="F1" s="1030"/>
      <c r="G1" s="1030"/>
      <c r="H1" s="1030"/>
      <c r="I1" s="1030"/>
      <c r="J1" s="1030"/>
      <c r="K1" s="1030"/>
      <c r="L1" s="1030"/>
      <c r="M1" s="1030"/>
      <c r="N1" s="1030"/>
      <c r="O1" s="1030"/>
      <c r="P1" s="1030"/>
      <c r="Q1" s="1030"/>
      <c r="R1" s="1030"/>
    </row>
    <row r="2" spans="1:30" ht="16.5" customHeight="1">
      <c r="A2" s="1030"/>
      <c r="B2" s="1030"/>
      <c r="C2" s="1030"/>
      <c r="D2" s="1030"/>
      <c r="E2" s="1030"/>
      <c r="F2" s="1030"/>
      <c r="G2" s="1030"/>
      <c r="H2" s="1030"/>
      <c r="I2" s="1030"/>
      <c r="J2" s="1030"/>
      <c r="K2" s="1030"/>
      <c r="L2" s="1030"/>
      <c r="M2" s="1030"/>
      <c r="N2" s="1030"/>
      <c r="O2" s="1030"/>
      <c r="P2" s="1030"/>
      <c r="Q2" s="1030"/>
      <c r="R2" s="1030"/>
    </row>
    <row r="3" spans="1:30" s="159" customFormat="1" ht="14.25" customHeight="1">
      <c r="A3" s="1031" t="s">
        <v>425</v>
      </c>
      <c r="B3" s="1031"/>
      <c r="C3" s="1031"/>
      <c r="D3" s="1031"/>
      <c r="E3" s="1031"/>
      <c r="F3" s="1031"/>
      <c r="G3" s="1031"/>
      <c r="H3" s="1031"/>
      <c r="I3" s="1031"/>
      <c r="J3" s="1031"/>
      <c r="K3" s="1031"/>
      <c r="L3" s="1031"/>
      <c r="M3" s="1031"/>
      <c r="N3" s="1031"/>
      <c r="O3" s="1031"/>
      <c r="P3" s="1031"/>
      <c r="Q3" s="1031"/>
      <c r="R3" s="1031"/>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303" t="s">
        <v>432</v>
      </c>
      <c r="B6" s="1032" t="s">
        <v>352</v>
      </c>
      <c r="C6" s="1032"/>
      <c r="D6" s="1032"/>
      <c r="E6" s="1032"/>
      <c r="F6" s="1032"/>
      <c r="G6" s="1032"/>
      <c r="H6" s="1032"/>
      <c r="I6" s="1032"/>
      <c r="J6" s="1032"/>
      <c r="K6" s="1032"/>
      <c r="L6" s="1032"/>
      <c r="M6" s="1032"/>
      <c r="N6" s="1032"/>
      <c r="O6" s="1032"/>
      <c r="P6" s="182"/>
      <c r="Q6" s="182"/>
      <c r="R6" s="263"/>
    </row>
    <row r="7" spans="1:30" ht="15" customHeight="1">
      <c r="A7" s="258"/>
      <c r="B7" s="314"/>
      <c r="C7" s="314"/>
      <c r="D7" s="314"/>
      <c r="E7" s="314"/>
      <c r="F7" s="314"/>
      <c r="G7" s="314"/>
      <c r="H7" s="314"/>
      <c r="I7" s="314"/>
      <c r="J7" s="314"/>
      <c r="K7" s="314"/>
      <c r="L7" s="314"/>
      <c r="M7" s="314"/>
      <c r="N7" s="314"/>
      <c r="O7" s="314"/>
      <c r="P7" s="182"/>
      <c r="Q7" s="182"/>
      <c r="R7" s="263"/>
    </row>
    <row r="8" spans="1:30" ht="15" customHeight="1">
      <c r="A8" s="258"/>
      <c r="B8" s="1033" t="s">
        <v>427</v>
      </c>
      <c r="C8" s="1033"/>
      <c r="D8" s="1033"/>
      <c r="E8" s="1033"/>
      <c r="F8" s="1033"/>
      <c r="G8" s="1033"/>
      <c r="H8" s="1033"/>
      <c r="I8" s="1033"/>
      <c r="J8" s="1033"/>
      <c r="K8" s="302"/>
      <c r="L8" s="302"/>
      <c r="M8" s="302"/>
      <c r="N8" s="302"/>
      <c r="O8" s="303"/>
      <c r="P8" s="182"/>
      <c r="Q8" s="182"/>
      <c r="R8" s="263"/>
    </row>
    <row r="9" spans="1:30" ht="13.5" customHeight="1">
      <c r="A9" s="258"/>
      <c r="B9" s="1033" t="s">
        <v>357</v>
      </c>
      <c r="C9" s="1033"/>
      <c r="D9" s="1033"/>
      <c r="E9" s="1033"/>
      <c r="F9" s="1033"/>
      <c r="G9" s="1033"/>
      <c r="H9" s="1033"/>
      <c r="I9" s="1033"/>
      <c r="J9" s="302"/>
      <c r="K9" s="302"/>
      <c r="L9" s="302"/>
      <c r="M9" s="302"/>
      <c r="N9" s="302"/>
      <c r="O9" s="303"/>
      <c r="P9" s="182"/>
      <c r="Q9" s="182"/>
      <c r="R9" s="263"/>
      <c r="X9" s="173"/>
      <c r="Y9" s="310"/>
      <c r="Z9" s="310"/>
      <c r="AA9" s="310"/>
      <c r="AB9" s="310"/>
      <c r="AC9" s="172"/>
      <c r="AD9" s="310"/>
    </row>
    <row r="10" spans="1:30" ht="13.5" customHeight="1">
      <c r="A10" s="258"/>
      <c r="B10" s="311"/>
      <c r="C10" s="311"/>
      <c r="D10" s="311"/>
      <c r="E10" s="311"/>
      <c r="F10" s="311"/>
      <c r="G10" s="311"/>
      <c r="H10" s="311"/>
      <c r="I10" s="311"/>
      <c r="J10" s="302"/>
      <c r="K10" s="302"/>
      <c r="L10" s="302"/>
      <c r="M10" s="302"/>
      <c r="N10" s="302"/>
      <c r="O10" s="303"/>
      <c r="P10" s="182"/>
      <c r="Q10" s="182"/>
      <c r="R10" s="263"/>
      <c r="X10" s="173"/>
      <c r="Y10" s="310"/>
      <c r="Z10" s="310"/>
      <c r="AA10" s="310"/>
      <c r="AB10" s="310"/>
      <c r="AC10" s="172"/>
      <c r="AD10" s="310"/>
    </row>
    <row r="11" spans="1:30" ht="14.25" customHeight="1">
      <c r="A11" s="294"/>
      <c r="B11" s="210" t="s">
        <v>370</v>
      </c>
      <c r="C11" s="210"/>
      <c r="D11" s="210"/>
      <c r="E11" s="210"/>
      <c r="F11" s="203"/>
      <c r="G11" s="313"/>
      <c r="H11" s="203"/>
      <c r="I11" s="313"/>
      <c r="J11" s="186"/>
      <c r="K11" s="190"/>
      <c r="L11" s="187"/>
      <c r="M11" s="190"/>
      <c r="N11" s="213"/>
      <c r="O11" s="294"/>
      <c r="P11" s="192"/>
      <c r="Q11" s="192"/>
      <c r="R11" s="294"/>
    </row>
    <row r="12" spans="1:30" ht="18.75" customHeight="1">
      <c r="A12" s="263"/>
      <c r="B12" s="211" t="s">
        <v>416</v>
      </c>
      <c r="C12" s="212"/>
      <c r="D12" s="185"/>
      <c r="E12" s="185"/>
      <c r="F12" s="313"/>
      <c r="G12" s="313"/>
      <c r="H12" s="203">
        <v>6</v>
      </c>
      <c r="I12" s="313" t="s">
        <v>1</v>
      </c>
      <c r="J12" s="203">
        <v>8</v>
      </c>
      <c r="K12" s="313" t="s">
        <v>1</v>
      </c>
      <c r="L12" s="186">
        <v>3</v>
      </c>
      <c r="M12" s="190" t="s">
        <v>0</v>
      </c>
      <c r="N12" s="213">
        <f>L12*J12*H12</f>
        <v>144</v>
      </c>
      <c r="O12" s="294" t="s">
        <v>13</v>
      </c>
      <c r="P12" s="182"/>
      <c r="Q12" s="182"/>
      <c r="R12" s="294"/>
    </row>
    <row r="13" spans="1:30" ht="13.5" customHeight="1">
      <c r="A13" s="263"/>
      <c r="B13" s="211"/>
      <c r="C13" s="212"/>
      <c r="D13" s="185"/>
      <c r="E13" s="185"/>
      <c r="F13" s="313"/>
      <c r="G13" s="313"/>
      <c r="H13" s="203"/>
      <c r="I13" s="313"/>
      <c r="J13" s="186"/>
      <c r="K13" s="184"/>
      <c r="L13" s="186" t="s">
        <v>8</v>
      </c>
      <c r="M13" s="190" t="s">
        <v>0</v>
      </c>
      <c r="N13" s="214">
        <f>SUM(N11:N12)</f>
        <v>144</v>
      </c>
      <c r="O13" s="280" t="s">
        <v>13</v>
      </c>
      <c r="P13" s="182"/>
      <c r="Q13" s="182"/>
      <c r="R13" s="294"/>
      <c r="X13" s="1034"/>
      <c r="Y13" s="1034"/>
      <c r="Z13" s="310"/>
      <c r="AA13" s="310"/>
      <c r="AB13" s="310"/>
      <c r="AC13" s="172"/>
      <c r="AD13" s="310"/>
    </row>
    <row r="14" spans="1:30" ht="15" customHeight="1">
      <c r="A14" s="294"/>
      <c r="B14" s="192"/>
      <c r="C14" s="192"/>
      <c r="D14" s="192"/>
      <c r="E14" s="185"/>
      <c r="F14" s="193" t="s">
        <v>350</v>
      </c>
      <c r="G14" s="307" t="s">
        <v>11</v>
      </c>
      <c r="H14" s="307">
        <v>1.58</v>
      </c>
      <c r="I14" s="1010" t="s">
        <v>353</v>
      </c>
      <c r="J14" s="1015"/>
      <c r="K14" s="185"/>
      <c r="L14" s="185"/>
      <c r="M14" s="184" t="s">
        <v>0</v>
      </c>
      <c r="N14" s="307">
        <f>H14*N13</f>
        <v>227.52</v>
      </c>
      <c r="O14" s="268" t="s">
        <v>100</v>
      </c>
      <c r="P14" s="185"/>
      <c r="Q14" s="185"/>
      <c r="R14" s="244"/>
      <c r="X14" s="173"/>
      <c r="Y14" s="310"/>
      <c r="Z14" s="310"/>
      <c r="AA14" s="310"/>
      <c r="AB14" s="310"/>
      <c r="AC14" s="172"/>
      <c r="AD14" s="310"/>
    </row>
    <row r="15" spans="1:30">
      <c r="A15" s="263"/>
      <c r="B15" s="1028" t="s">
        <v>417</v>
      </c>
      <c r="C15" s="1028"/>
      <c r="D15" s="1028"/>
      <c r="E15" s="1028"/>
      <c r="F15" s="1028"/>
      <c r="G15" s="1028"/>
      <c r="H15" s="1028"/>
      <c r="I15" s="305"/>
      <c r="J15" s="306"/>
      <c r="K15" s="185"/>
      <c r="L15" s="185"/>
      <c r="M15" s="184"/>
      <c r="N15" s="307"/>
      <c r="O15" s="268"/>
      <c r="P15" s="182"/>
      <c r="Q15" s="182"/>
      <c r="R15" s="294"/>
      <c r="U15" s="168"/>
      <c r="V15" s="168"/>
      <c r="W15" s="168"/>
      <c r="X15" s="173"/>
      <c r="Y15" s="310"/>
      <c r="Z15" s="310"/>
      <c r="AA15" s="310"/>
      <c r="AB15" s="310"/>
      <c r="AC15" s="172"/>
      <c r="AD15" s="310"/>
    </row>
    <row r="16" spans="1:30" ht="36" customHeight="1">
      <c r="A16" s="263"/>
      <c r="B16" s="1019" t="s">
        <v>385</v>
      </c>
      <c r="C16" s="1019"/>
      <c r="D16" s="1019"/>
      <c r="E16" s="1019"/>
      <c r="F16" s="1019"/>
      <c r="G16" s="1019"/>
      <c r="H16" s="203">
        <f>H12</f>
        <v>6</v>
      </c>
      <c r="I16" s="313" t="s">
        <v>1</v>
      </c>
      <c r="J16" s="203">
        <f>33+1</f>
        <v>34</v>
      </c>
      <c r="K16" s="313" t="s">
        <v>1</v>
      </c>
      <c r="L16" s="186">
        <v>1.8</v>
      </c>
      <c r="M16" s="190" t="s">
        <v>0</v>
      </c>
      <c r="N16" s="213">
        <f t="shared" ref="N16" si="0">L16*J16*H16</f>
        <v>367.20000000000005</v>
      </c>
      <c r="O16" s="304" t="s">
        <v>13</v>
      </c>
      <c r="P16" s="182"/>
      <c r="Q16" s="182"/>
      <c r="R16" s="294"/>
      <c r="U16" s="168"/>
      <c r="V16" s="168"/>
      <c r="W16" s="168"/>
      <c r="X16" s="173"/>
      <c r="Y16" s="310"/>
      <c r="Z16" s="310"/>
      <c r="AA16" s="310"/>
      <c r="AB16" s="310"/>
      <c r="AC16" s="172"/>
      <c r="AD16" s="310"/>
    </row>
    <row r="17" spans="1:30">
      <c r="A17" s="263"/>
      <c r="B17" s="211"/>
      <c r="C17" s="212"/>
      <c r="D17" s="185"/>
      <c r="E17" s="185"/>
      <c r="F17" s="313"/>
      <c r="G17" s="313"/>
      <c r="H17" s="203"/>
      <c r="I17" s="313"/>
      <c r="J17" s="186"/>
      <c r="K17" s="184"/>
      <c r="L17" s="186" t="s">
        <v>8</v>
      </c>
      <c r="M17" s="190" t="s">
        <v>0</v>
      </c>
      <c r="N17" s="214">
        <f>SUM(N16:N16)</f>
        <v>367.20000000000005</v>
      </c>
      <c r="O17" s="280" t="s">
        <v>13</v>
      </c>
      <c r="P17" s="182"/>
      <c r="Q17" s="182"/>
      <c r="R17" s="294"/>
      <c r="U17" s="168"/>
      <c r="V17" s="168"/>
      <c r="W17" s="168"/>
      <c r="X17" s="172"/>
      <c r="Y17" s="310"/>
      <c r="Z17" s="310"/>
      <c r="AA17" s="310"/>
      <c r="AB17" s="174"/>
      <c r="AC17" s="172"/>
      <c r="AD17" s="310"/>
    </row>
    <row r="18" spans="1:30">
      <c r="A18" s="263"/>
      <c r="B18" s="192"/>
      <c r="C18" s="192"/>
      <c r="D18" s="192"/>
      <c r="E18" s="185"/>
      <c r="F18" s="193" t="s">
        <v>350</v>
      </c>
      <c r="G18" s="307" t="s">
        <v>11</v>
      </c>
      <c r="H18" s="307">
        <v>0.39</v>
      </c>
      <c r="I18" s="1010" t="s">
        <v>353</v>
      </c>
      <c r="J18" s="1015"/>
      <c r="K18" s="185"/>
      <c r="L18" s="185"/>
      <c r="M18" s="184" t="s">
        <v>0</v>
      </c>
      <c r="N18" s="307">
        <f>H18*N17</f>
        <v>143.20800000000003</v>
      </c>
      <c r="O18" s="268" t="s">
        <v>100</v>
      </c>
      <c r="P18" s="182"/>
      <c r="Q18" s="182"/>
      <c r="R18" s="294"/>
      <c r="U18" s="168"/>
      <c r="V18" s="168"/>
      <c r="W18" s="168"/>
      <c r="X18" s="1029"/>
      <c r="Y18" s="1029"/>
      <c r="Z18" s="1029"/>
      <c r="AA18" s="1029"/>
      <c r="AB18" s="1029"/>
      <c r="AC18" s="172"/>
      <c r="AD18" s="310"/>
    </row>
    <row r="19" spans="1:30">
      <c r="A19" s="263"/>
      <c r="B19" s="192"/>
      <c r="C19" s="192"/>
      <c r="D19" s="192"/>
      <c r="E19" s="185"/>
      <c r="F19" s="193"/>
      <c r="G19" s="307"/>
      <c r="H19" s="307"/>
      <c r="I19" s="305"/>
      <c r="J19" s="306"/>
      <c r="K19" s="185"/>
      <c r="L19" s="185"/>
      <c r="M19" s="184"/>
      <c r="N19" s="307"/>
      <c r="O19" s="268"/>
      <c r="P19" s="182"/>
      <c r="Q19" s="182"/>
      <c r="R19" s="294"/>
      <c r="U19" s="168"/>
      <c r="V19" s="168"/>
      <c r="W19" s="168"/>
      <c r="X19" s="310"/>
      <c r="Y19" s="310"/>
      <c r="Z19" s="310"/>
      <c r="AA19" s="310"/>
      <c r="AB19" s="310"/>
      <c r="AC19" s="172"/>
      <c r="AD19" s="310"/>
    </row>
    <row r="20" spans="1:30">
      <c r="A20" s="263"/>
      <c r="B20" s="1027" t="s">
        <v>386</v>
      </c>
      <c r="C20" s="1027"/>
      <c r="D20" s="1027"/>
      <c r="E20" s="1027"/>
      <c r="F20" s="1027"/>
      <c r="G20" s="1027"/>
      <c r="H20" s="1027"/>
      <c r="I20" s="305"/>
      <c r="J20" s="306"/>
      <c r="K20" s="185"/>
      <c r="L20" s="185"/>
      <c r="M20" s="184"/>
      <c r="N20" s="307"/>
      <c r="O20" s="268"/>
      <c r="P20" s="182"/>
      <c r="Q20" s="182"/>
      <c r="R20" s="294"/>
      <c r="U20" s="168"/>
      <c r="V20" s="168"/>
      <c r="W20" s="168"/>
      <c r="X20" s="172"/>
      <c r="Y20" s="310"/>
      <c r="Z20" s="310"/>
      <c r="AA20" s="310"/>
      <c r="AB20" s="174"/>
      <c r="AC20" s="172"/>
      <c r="AD20" s="176"/>
    </row>
    <row r="21" spans="1:30">
      <c r="A21" s="263"/>
      <c r="B21" s="1019" t="s">
        <v>445</v>
      </c>
      <c r="C21" s="1019"/>
      <c r="D21" s="1019"/>
      <c r="E21" s="1019"/>
      <c r="F21" s="1019"/>
      <c r="G21" s="307"/>
      <c r="H21" s="307"/>
      <c r="I21" s="305"/>
      <c r="J21" s="306"/>
      <c r="K21" s="185"/>
      <c r="L21" s="185"/>
      <c r="M21" s="184"/>
      <c r="N21" s="307"/>
      <c r="O21" s="268"/>
      <c r="P21" s="182"/>
      <c r="Q21" s="182"/>
      <c r="R21" s="294"/>
      <c r="X21" s="173"/>
      <c r="Y21" s="177"/>
      <c r="Z21" s="177"/>
      <c r="AA21" s="177"/>
      <c r="AB21" s="177"/>
      <c r="AC21" s="172"/>
      <c r="AD21" s="310"/>
    </row>
    <row r="22" spans="1:30">
      <c r="A22" s="263"/>
      <c r="B22" s="1019" t="s">
        <v>387</v>
      </c>
      <c r="C22" s="1019"/>
      <c r="D22" s="1019"/>
      <c r="E22" s="1019"/>
      <c r="F22" s="1019"/>
      <c r="G22" s="307"/>
      <c r="H22" s="203">
        <v>1</v>
      </c>
      <c r="I22" s="313" t="s">
        <v>1</v>
      </c>
      <c r="J22" s="203">
        <v>4</v>
      </c>
      <c r="K22" s="313" t="s">
        <v>1</v>
      </c>
      <c r="L22" s="186">
        <v>24</v>
      </c>
      <c r="M22" s="190" t="s">
        <v>0</v>
      </c>
      <c r="N22" s="213">
        <f t="shared" ref="N22:N24" si="1">L22*J22*H22</f>
        <v>96</v>
      </c>
      <c r="O22" s="294" t="s">
        <v>13</v>
      </c>
      <c r="P22" s="182"/>
      <c r="Q22" s="182"/>
      <c r="R22" s="294"/>
      <c r="X22" s="173"/>
      <c r="Y22" s="177"/>
      <c r="Z22" s="177"/>
      <c r="AA22" s="177"/>
      <c r="AB22" s="177"/>
      <c r="AC22" s="172"/>
      <c r="AD22" s="310"/>
    </row>
    <row r="23" spans="1:30">
      <c r="A23" s="263"/>
      <c r="B23" s="1019" t="s">
        <v>388</v>
      </c>
      <c r="C23" s="1019"/>
      <c r="D23" s="1019"/>
      <c r="E23" s="1019"/>
      <c r="F23" s="1019"/>
      <c r="G23" s="307"/>
      <c r="H23" s="203">
        <v>1</v>
      </c>
      <c r="I23" s="313" t="s">
        <v>1</v>
      </c>
      <c r="J23" s="203">
        <v>2</v>
      </c>
      <c r="K23" s="313" t="s">
        <v>1</v>
      </c>
      <c r="L23" s="186">
        <f>L22</f>
        <v>24</v>
      </c>
      <c r="M23" s="190" t="s">
        <v>0</v>
      </c>
      <c r="N23" s="213">
        <f t="shared" si="1"/>
        <v>48</v>
      </c>
      <c r="O23" s="294" t="s">
        <v>13</v>
      </c>
      <c r="P23" s="182"/>
      <c r="Q23" s="182"/>
      <c r="R23" s="294"/>
      <c r="X23" s="173"/>
      <c r="Y23" s="177"/>
      <c r="Z23" s="177"/>
      <c r="AA23" s="177"/>
      <c r="AB23" s="177"/>
      <c r="AC23" s="172"/>
      <c r="AD23" s="310"/>
    </row>
    <row r="24" spans="1:30">
      <c r="A24" s="263"/>
      <c r="B24" s="1019" t="s">
        <v>389</v>
      </c>
      <c r="C24" s="1019"/>
      <c r="D24" s="1019"/>
      <c r="E24" s="1019"/>
      <c r="F24" s="1019"/>
      <c r="G24" s="307"/>
      <c r="H24" s="203">
        <v>1</v>
      </c>
      <c r="I24" s="313" t="s">
        <v>1</v>
      </c>
      <c r="J24" s="203">
        <v>2</v>
      </c>
      <c r="K24" s="313" t="s">
        <v>1</v>
      </c>
      <c r="L24" s="186">
        <f>L23</f>
        <v>24</v>
      </c>
      <c r="M24" s="190" t="s">
        <v>0</v>
      </c>
      <c r="N24" s="213">
        <f t="shared" si="1"/>
        <v>48</v>
      </c>
      <c r="O24" s="294" t="s">
        <v>13</v>
      </c>
      <c r="P24" s="182"/>
      <c r="Q24" s="182"/>
      <c r="R24" s="294"/>
      <c r="X24" s="173"/>
      <c r="Y24" s="177"/>
      <c r="Z24" s="177"/>
      <c r="AA24" s="177"/>
      <c r="AB24" s="177"/>
      <c r="AC24" s="172"/>
      <c r="AD24" s="310"/>
    </row>
    <row r="25" spans="1:30">
      <c r="A25" s="263"/>
      <c r="B25" s="211"/>
      <c r="C25" s="212"/>
      <c r="D25" s="185"/>
      <c r="E25" s="185"/>
      <c r="F25" s="313"/>
      <c r="G25" s="313"/>
      <c r="H25" s="203"/>
      <c r="I25" s="313"/>
      <c r="J25" s="186"/>
      <c r="K25" s="184"/>
      <c r="L25" s="186" t="s">
        <v>8</v>
      </c>
      <c r="M25" s="190" t="s">
        <v>0</v>
      </c>
      <c r="N25" s="214">
        <f>SUM(N22:N24)</f>
        <v>192</v>
      </c>
      <c r="O25" s="280" t="s">
        <v>13</v>
      </c>
      <c r="P25" s="182"/>
      <c r="Q25" s="182"/>
      <c r="R25" s="294"/>
      <c r="X25" s="173"/>
      <c r="Y25" s="177"/>
      <c r="Z25" s="177"/>
      <c r="AA25" s="177"/>
      <c r="AB25" s="177"/>
      <c r="AC25" s="172"/>
      <c r="AD25" s="310"/>
    </row>
    <row r="26" spans="1:30">
      <c r="A26" s="263"/>
      <c r="B26" s="192"/>
      <c r="C26" s="192"/>
      <c r="D26" s="192"/>
      <c r="E26" s="185"/>
      <c r="F26" s="193" t="s">
        <v>350</v>
      </c>
      <c r="G26" s="307" t="s">
        <v>11</v>
      </c>
      <c r="H26" s="307">
        <v>2.46</v>
      </c>
      <c r="I26" s="1010" t="s">
        <v>353</v>
      </c>
      <c r="J26" s="1015"/>
      <c r="K26" s="185"/>
      <c r="L26" s="185"/>
      <c r="M26" s="184" t="s">
        <v>0</v>
      </c>
      <c r="N26" s="307">
        <f>H26*N25</f>
        <v>472.32</v>
      </c>
      <c r="O26" s="268" t="s">
        <v>100</v>
      </c>
      <c r="P26" s="182"/>
      <c r="Q26" s="182"/>
      <c r="R26" s="294"/>
      <c r="X26" s="173"/>
      <c r="Y26" s="177"/>
      <c r="Z26" s="177"/>
      <c r="AA26" s="177"/>
      <c r="AB26" s="177"/>
      <c r="AC26" s="172"/>
      <c r="AD26" s="310"/>
    </row>
    <row r="27" spans="1:30">
      <c r="A27" s="263"/>
      <c r="B27" s="305"/>
      <c r="C27" s="305"/>
      <c r="D27" s="305"/>
      <c r="E27" s="305"/>
      <c r="F27" s="193"/>
      <c r="G27" s="307"/>
      <c r="H27" s="307"/>
      <c r="I27" s="305"/>
      <c r="J27" s="306"/>
      <c r="K27" s="185"/>
      <c r="L27" s="185"/>
      <c r="M27" s="184"/>
      <c r="N27" s="307"/>
      <c r="O27" s="268"/>
      <c r="P27" s="182"/>
      <c r="Q27" s="182"/>
      <c r="R27" s="294"/>
      <c r="X27" s="173"/>
      <c r="Y27" s="177"/>
      <c r="Z27" s="177"/>
      <c r="AA27" s="177"/>
      <c r="AB27" s="177"/>
      <c r="AC27" s="172"/>
      <c r="AD27" s="310"/>
    </row>
    <row r="28" spans="1:30" ht="33" customHeight="1">
      <c r="A28" s="263"/>
      <c r="B28" s="1019" t="s">
        <v>385</v>
      </c>
      <c r="C28" s="1019"/>
      <c r="D28" s="1019"/>
      <c r="E28" s="1019"/>
      <c r="F28" s="1019"/>
      <c r="G28" s="1019"/>
      <c r="H28" s="203">
        <v>1</v>
      </c>
      <c r="I28" s="313" t="s">
        <v>1</v>
      </c>
      <c r="J28" s="203">
        <f>L22/0.1+1</f>
        <v>241</v>
      </c>
      <c r="K28" s="313" t="s">
        <v>1</v>
      </c>
      <c r="L28" s="186">
        <v>1.5</v>
      </c>
      <c r="M28" s="190" t="s">
        <v>0</v>
      </c>
      <c r="N28" s="213">
        <f>L28*J28*H28</f>
        <v>361.5</v>
      </c>
      <c r="O28" s="304" t="s">
        <v>13</v>
      </c>
      <c r="P28" s="182"/>
      <c r="Q28" s="182"/>
      <c r="R28" s="294"/>
      <c r="X28" s="173"/>
      <c r="Y28" s="177"/>
      <c r="Z28" s="177"/>
      <c r="AA28" s="177"/>
      <c r="AB28" s="177"/>
      <c r="AC28" s="172"/>
      <c r="AD28" s="310"/>
    </row>
    <row r="29" spans="1:30">
      <c r="A29" s="263"/>
      <c r="B29" s="211"/>
      <c r="C29" s="212"/>
      <c r="D29" s="185"/>
      <c r="E29" s="185"/>
      <c r="F29" s="313"/>
      <c r="G29" s="313"/>
      <c r="H29" s="203"/>
      <c r="I29" s="313"/>
      <c r="J29" s="186"/>
      <c r="K29" s="184"/>
      <c r="L29" s="186" t="s">
        <v>8</v>
      </c>
      <c r="M29" s="190" t="s">
        <v>0</v>
      </c>
      <c r="N29" s="214">
        <f>SUM(N28)</f>
        <v>361.5</v>
      </c>
      <c r="O29" s="280" t="s">
        <v>13</v>
      </c>
      <c r="P29" s="182"/>
      <c r="Q29" s="182"/>
      <c r="R29" s="294"/>
      <c r="X29" s="173"/>
      <c r="Y29" s="177"/>
      <c r="Z29" s="177"/>
      <c r="AA29" s="177"/>
      <c r="AB29" s="177"/>
      <c r="AC29" s="172"/>
      <c r="AD29" s="310"/>
    </row>
    <row r="30" spans="1:30">
      <c r="A30" s="263"/>
      <c r="B30" s="192"/>
      <c r="C30" s="192"/>
      <c r="D30" s="192"/>
      <c r="E30" s="185"/>
      <c r="F30" s="193" t="s">
        <v>350</v>
      </c>
      <c r="G30" s="307" t="s">
        <v>11</v>
      </c>
      <c r="H30" s="307">
        <v>0.39</v>
      </c>
      <c r="I30" s="1010" t="s">
        <v>353</v>
      </c>
      <c r="J30" s="1015"/>
      <c r="K30" s="185"/>
      <c r="L30" s="185"/>
      <c r="M30" s="184" t="s">
        <v>0</v>
      </c>
      <c r="N30" s="307">
        <f>H30*N29</f>
        <v>140.98500000000001</v>
      </c>
      <c r="O30" s="268" t="s">
        <v>100</v>
      </c>
      <c r="P30" s="182"/>
      <c r="Q30" s="182"/>
      <c r="R30" s="294"/>
      <c r="X30" s="173"/>
      <c r="Y30" s="177"/>
      <c r="Z30" s="177"/>
      <c r="AA30" s="177"/>
      <c r="AB30" s="177"/>
      <c r="AC30" s="172"/>
      <c r="AD30" s="310"/>
    </row>
    <row r="31" spans="1:30">
      <c r="A31" s="263"/>
      <c r="B31" s="1019" t="s">
        <v>384</v>
      </c>
      <c r="C31" s="1019"/>
      <c r="D31" s="1019"/>
      <c r="E31" s="1019"/>
      <c r="F31" s="1019"/>
      <c r="G31" s="307"/>
      <c r="H31" s="307"/>
      <c r="I31" s="305"/>
      <c r="J31" s="306"/>
      <c r="K31" s="185"/>
      <c r="L31" s="185"/>
      <c r="M31" s="184"/>
      <c r="N31" s="307"/>
      <c r="O31" s="268"/>
      <c r="P31" s="182"/>
      <c r="Q31" s="182"/>
      <c r="R31" s="294"/>
      <c r="X31" s="173"/>
      <c r="Y31" s="177"/>
      <c r="Z31" s="177"/>
      <c r="AA31" s="177"/>
      <c r="AB31" s="177"/>
      <c r="AC31" s="172"/>
      <c r="AD31" s="310"/>
    </row>
    <row r="32" spans="1:30">
      <c r="A32" s="263"/>
      <c r="B32" s="1019" t="s">
        <v>387</v>
      </c>
      <c r="C32" s="1019"/>
      <c r="D32" s="1019"/>
      <c r="E32" s="1019"/>
      <c r="F32" s="1019"/>
      <c r="G32" s="307"/>
      <c r="H32" s="203">
        <v>1</v>
      </c>
      <c r="I32" s="313" t="s">
        <v>1</v>
      </c>
      <c r="J32" s="203">
        <v>4</v>
      </c>
      <c r="K32" s="313" t="s">
        <v>1</v>
      </c>
      <c r="L32" s="186">
        <v>9</v>
      </c>
      <c r="M32" s="190" t="s">
        <v>0</v>
      </c>
      <c r="N32" s="213">
        <f t="shared" ref="N32:N34" si="2">L32*J32*H32</f>
        <v>36</v>
      </c>
      <c r="O32" s="294" t="s">
        <v>13</v>
      </c>
      <c r="P32" s="182"/>
      <c r="Q32" s="182"/>
      <c r="R32" s="294"/>
      <c r="X32" s="173"/>
      <c r="Y32" s="177"/>
      <c r="Z32" s="177"/>
      <c r="AA32" s="177"/>
      <c r="AB32" s="177"/>
      <c r="AC32" s="172"/>
      <c r="AD32" s="310"/>
    </row>
    <row r="33" spans="1:30">
      <c r="A33" s="263"/>
      <c r="B33" s="1019" t="s">
        <v>388</v>
      </c>
      <c r="C33" s="1019"/>
      <c r="D33" s="1019"/>
      <c r="E33" s="1019"/>
      <c r="F33" s="1019"/>
      <c r="G33" s="307"/>
      <c r="H33" s="203">
        <v>1</v>
      </c>
      <c r="I33" s="313" t="s">
        <v>1</v>
      </c>
      <c r="J33" s="203">
        <v>2</v>
      </c>
      <c r="K33" s="313" t="s">
        <v>1</v>
      </c>
      <c r="L33" s="186">
        <f>L32</f>
        <v>9</v>
      </c>
      <c r="M33" s="190" t="s">
        <v>0</v>
      </c>
      <c r="N33" s="213">
        <f t="shared" si="2"/>
        <v>18</v>
      </c>
      <c r="O33" s="294" t="s">
        <v>13</v>
      </c>
      <c r="P33" s="182"/>
      <c r="Q33" s="182"/>
      <c r="R33" s="294"/>
      <c r="X33" s="173"/>
      <c r="Y33" s="177"/>
      <c r="Z33" s="177"/>
      <c r="AA33" s="177"/>
      <c r="AB33" s="177"/>
      <c r="AC33" s="172"/>
      <c r="AD33" s="310"/>
    </row>
    <row r="34" spans="1:30">
      <c r="A34" s="263"/>
      <c r="B34" s="1019" t="s">
        <v>389</v>
      </c>
      <c r="C34" s="1019"/>
      <c r="D34" s="1019"/>
      <c r="E34" s="1019"/>
      <c r="F34" s="1019"/>
      <c r="G34" s="307"/>
      <c r="H34" s="203">
        <v>1</v>
      </c>
      <c r="I34" s="313" t="s">
        <v>1</v>
      </c>
      <c r="J34" s="203">
        <v>2</v>
      </c>
      <c r="K34" s="313" t="s">
        <v>1</v>
      </c>
      <c r="L34" s="186">
        <f>L33</f>
        <v>9</v>
      </c>
      <c r="M34" s="190" t="s">
        <v>0</v>
      </c>
      <c r="N34" s="213">
        <f t="shared" si="2"/>
        <v>18</v>
      </c>
      <c r="O34" s="294" t="s">
        <v>13</v>
      </c>
      <c r="P34" s="182"/>
      <c r="Q34" s="182"/>
      <c r="R34" s="294"/>
      <c r="X34" s="173"/>
      <c r="Y34" s="177"/>
      <c r="Z34" s="177"/>
      <c r="AA34" s="177"/>
      <c r="AB34" s="177"/>
      <c r="AC34" s="172"/>
      <c r="AD34" s="310"/>
    </row>
    <row r="35" spans="1:30">
      <c r="A35" s="263"/>
      <c r="B35" s="211"/>
      <c r="C35" s="212"/>
      <c r="D35" s="185"/>
      <c r="E35" s="185"/>
      <c r="F35" s="313"/>
      <c r="G35" s="313"/>
      <c r="H35" s="203"/>
      <c r="I35" s="313"/>
      <c r="J35" s="186"/>
      <c r="K35" s="184"/>
      <c r="L35" s="186" t="s">
        <v>8</v>
      </c>
      <c r="M35" s="190" t="s">
        <v>0</v>
      </c>
      <c r="N35" s="214">
        <f>SUM(N32:N34)</f>
        <v>72</v>
      </c>
      <c r="O35" s="280" t="s">
        <v>13</v>
      </c>
      <c r="P35" s="182"/>
      <c r="Q35" s="182"/>
      <c r="R35" s="294"/>
      <c r="X35" s="173"/>
      <c r="Y35" s="177"/>
      <c r="Z35" s="177"/>
      <c r="AA35" s="177"/>
      <c r="AB35" s="177"/>
      <c r="AC35" s="172"/>
      <c r="AD35" s="310"/>
    </row>
    <row r="36" spans="1:30">
      <c r="A36" s="263"/>
      <c r="B36" s="192"/>
      <c r="C36" s="192"/>
      <c r="D36" s="192"/>
      <c r="E36" s="185"/>
      <c r="F36" s="193" t="s">
        <v>350</v>
      </c>
      <c r="G36" s="307" t="s">
        <v>11</v>
      </c>
      <c r="H36" s="307">
        <v>1.58</v>
      </c>
      <c r="I36" s="1010" t="s">
        <v>353</v>
      </c>
      <c r="J36" s="1015"/>
      <c r="K36" s="185"/>
      <c r="L36" s="185"/>
      <c r="M36" s="184" t="s">
        <v>0</v>
      </c>
      <c r="N36" s="307">
        <f>H36*N35</f>
        <v>113.76</v>
      </c>
      <c r="O36" s="268" t="s">
        <v>100</v>
      </c>
      <c r="P36" s="182"/>
      <c r="Q36" s="182"/>
      <c r="R36" s="294"/>
      <c r="X36" s="173"/>
      <c r="Y36" s="177"/>
      <c r="Z36" s="177"/>
      <c r="AA36" s="177"/>
      <c r="AB36" s="177"/>
      <c r="AC36" s="172"/>
      <c r="AD36" s="310"/>
    </row>
    <row r="37" spans="1:30">
      <c r="A37" s="263"/>
      <c r="B37" s="305"/>
      <c r="C37" s="305"/>
      <c r="D37" s="305"/>
      <c r="E37" s="305"/>
      <c r="F37" s="193"/>
      <c r="G37" s="307"/>
      <c r="H37" s="307"/>
      <c r="I37" s="305"/>
      <c r="J37" s="306"/>
      <c r="K37" s="185"/>
      <c r="L37" s="185"/>
      <c r="M37" s="184"/>
      <c r="N37" s="307"/>
      <c r="O37" s="268"/>
      <c r="P37" s="182"/>
      <c r="Q37" s="182"/>
      <c r="R37" s="294"/>
      <c r="X37" s="173"/>
      <c r="Y37" s="177"/>
      <c r="Z37" s="177"/>
      <c r="AA37" s="177"/>
      <c r="AB37" s="177"/>
      <c r="AC37" s="172"/>
      <c r="AD37" s="310"/>
    </row>
    <row r="38" spans="1:30" ht="33" customHeight="1">
      <c r="A38" s="263"/>
      <c r="B38" s="1019" t="s">
        <v>385</v>
      </c>
      <c r="C38" s="1019"/>
      <c r="D38" s="1019"/>
      <c r="E38" s="1019"/>
      <c r="F38" s="1019"/>
      <c r="G38" s="1019"/>
      <c r="H38" s="203">
        <v>1</v>
      </c>
      <c r="I38" s="313" t="s">
        <v>1</v>
      </c>
      <c r="J38" s="203">
        <f>L32/0.1+1</f>
        <v>91</v>
      </c>
      <c r="K38" s="313" t="s">
        <v>1</v>
      </c>
      <c r="L38" s="186">
        <v>1.5</v>
      </c>
      <c r="M38" s="190" t="s">
        <v>0</v>
      </c>
      <c r="N38" s="213">
        <f>L38*J38*H38</f>
        <v>136.5</v>
      </c>
      <c r="O38" s="294" t="s">
        <v>13</v>
      </c>
      <c r="P38" s="182"/>
      <c r="Q38" s="182"/>
      <c r="R38" s="294"/>
      <c r="X38" s="173"/>
      <c r="Y38" s="177"/>
      <c r="Z38" s="177"/>
      <c r="AA38" s="177"/>
      <c r="AB38" s="177"/>
      <c r="AC38" s="172"/>
      <c r="AD38" s="310"/>
    </row>
    <row r="39" spans="1:30">
      <c r="A39" s="263"/>
      <c r="B39" s="211"/>
      <c r="C39" s="212"/>
      <c r="D39" s="185"/>
      <c r="E39" s="185"/>
      <c r="F39" s="313"/>
      <c r="G39" s="313"/>
      <c r="H39" s="203"/>
      <c r="I39" s="313"/>
      <c r="J39" s="186"/>
      <c r="K39" s="184"/>
      <c r="L39" s="186" t="s">
        <v>8</v>
      </c>
      <c r="M39" s="190" t="s">
        <v>0</v>
      </c>
      <c r="N39" s="214">
        <f>SUM(N38)</f>
        <v>136.5</v>
      </c>
      <c r="O39" s="280" t="s">
        <v>13</v>
      </c>
      <c r="P39" s="182"/>
      <c r="Q39" s="182"/>
      <c r="R39" s="294"/>
      <c r="X39" s="173"/>
      <c r="Y39" s="177"/>
      <c r="Z39" s="177"/>
      <c r="AA39" s="177"/>
      <c r="AB39" s="177"/>
      <c r="AC39" s="172"/>
      <c r="AD39" s="310"/>
    </row>
    <row r="40" spans="1:30">
      <c r="A40" s="263"/>
      <c r="B40" s="192"/>
      <c r="C40" s="192"/>
      <c r="D40" s="192"/>
      <c r="E40" s="185"/>
      <c r="F40" s="193" t="s">
        <v>350</v>
      </c>
      <c r="G40" s="307" t="s">
        <v>11</v>
      </c>
      <c r="H40" s="307">
        <v>0.39</v>
      </c>
      <c r="I40" s="1010" t="s">
        <v>353</v>
      </c>
      <c r="J40" s="1015"/>
      <c r="K40" s="185"/>
      <c r="L40" s="185"/>
      <c r="M40" s="184" t="s">
        <v>0</v>
      </c>
      <c r="N40" s="307">
        <f>H40*N39</f>
        <v>53.234999999999999</v>
      </c>
      <c r="O40" s="268" t="s">
        <v>100</v>
      </c>
      <c r="P40" s="182"/>
      <c r="Q40" s="182"/>
      <c r="R40" s="294"/>
      <c r="X40" s="173"/>
      <c r="Y40" s="177"/>
      <c r="Z40" s="177"/>
      <c r="AA40" s="177"/>
      <c r="AB40" s="177"/>
      <c r="AC40" s="172"/>
      <c r="AD40" s="310"/>
    </row>
    <row r="41" spans="1:30">
      <c r="A41" s="263"/>
      <c r="B41" s="192"/>
      <c r="C41" s="192"/>
      <c r="D41" s="192"/>
      <c r="E41" s="185"/>
      <c r="F41" s="193"/>
      <c r="G41" s="307"/>
      <c r="H41" s="307"/>
      <c r="I41" s="305"/>
      <c r="J41" s="306"/>
      <c r="K41" s="185"/>
      <c r="L41" s="185"/>
      <c r="M41" s="184"/>
      <c r="N41" s="307"/>
      <c r="O41" s="268"/>
      <c r="P41" s="182"/>
      <c r="Q41" s="182"/>
      <c r="R41" s="294"/>
      <c r="X41" s="173"/>
      <c r="Y41" s="177"/>
      <c r="Z41" s="177"/>
      <c r="AA41" s="177"/>
      <c r="AB41" s="177"/>
      <c r="AC41" s="172"/>
      <c r="AD41" s="310"/>
    </row>
    <row r="42" spans="1:30">
      <c r="A42" s="263"/>
      <c r="B42" s="192"/>
      <c r="C42" s="192"/>
      <c r="D42" s="192"/>
      <c r="E42" s="185"/>
      <c r="F42" s="193"/>
      <c r="G42" s="307"/>
      <c r="H42" s="307"/>
      <c r="I42" s="305"/>
      <c r="J42" s="306"/>
      <c r="K42" s="185"/>
      <c r="L42" s="185"/>
      <c r="M42" s="184"/>
      <c r="N42" s="307"/>
      <c r="O42" s="268"/>
      <c r="P42" s="182"/>
      <c r="Q42" s="182"/>
      <c r="R42" s="294"/>
      <c r="X42" s="173"/>
      <c r="Y42" s="177"/>
      <c r="Z42" s="177"/>
      <c r="AA42" s="177"/>
      <c r="AB42" s="177"/>
      <c r="AC42" s="172"/>
      <c r="AD42" s="310"/>
    </row>
    <row r="43" spans="1:30">
      <c r="A43" s="263"/>
      <c r="B43" s="192"/>
      <c r="C43" s="192"/>
      <c r="D43" s="192"/>
      <c r="E43" s="185"/>
      <c r="F43" s="193"/>
      <c r="G43" s="307"/>
      <c r="H43" s="307"/>
      <c r="I43" s="305"/>
      <c r="J43" s="306"/>
      <c r="K43" s="185"/>
      <c r="L43" s="185"/>
      <c r="M43" s="184"/>
      <c r="N43" s="307"/>
      <c r="O43" s="281" t="s">
        <v>24</v>
      </c>
      <c r="P43" s="251" t="s">
        <v>0</v>
      </c>
      <c r="Q43" s="252" t="s">
        <v>11</v>
      </c>
      <c r="R43" s="272"/>
      <c r="X43" s="173"/>
      <c r="Y43" s="177"/>
      <c r="Z43" s="177"/>
      <c r="AA43" s="177"/>
      <c r="AB43" s="177"/>
      <c r="AC43" s="172"/>
      <c r="AD43" s="310"/>
    </row>
    <row r="44" spans="1:30">
      <c r="A44" s="244"/>
      <c r="B44" s="185"/>
      <c r="C44" s="185"/>
      <c r="D44" s="185"/>
      <c r="E44" s="185"/>
      <c r="F44" s="185"/>
      <c r="G44" s="185"/>
      <c r="H44" s="185"/>
      <c r="I44" s="185"/>
      <c r="J44" s="185"/>
      <c r="K44" s="185"/>
      <c r="L44" s="185"/>
      <c r="M44" s="185"/>
      <c r="N44" s="185"/>
      <c r="O44" s="281" t="s">
        <v>25</v>
      </c>
      <c r="P44" s="251" t="s">
        <v>0</v>
      </c>
      <c r="Q44" s="252" t="s">
        <v>11</v>
      </c>
      <c r="R44" s="272">
        <f>R43*1</f>
        <v>0</v>
      </c>
    </row>
    <row r="45" spans="1:30" hidden="1">
      <c r="A45" s="244"/>
      <c r="B45" s="185"/>
      <c r="C45" s="185"/>
      <c r="D45" s="185"/>
      <c r="E45" s="185"/>
      <c r="F45" s="185"/>
      <c r="G45" s="185"/>
      <c r="H45" s="185"/>
      <c r="I45" s="185"/>
      <c r="J45" s="185"/>
      <c r="K45" s="185"/>
      <c r="L45" s="185"/>
      <c r="M45" s="185"/>
      <c r="N45" s="185"/>
      <c r="O45" s="244"/>
      <c r="P45" s="185"/>
      <c r="Q45" s="185"/>
      <c r="R45" s="244"/>
    </row>
    <row r="46" spans="1:30">
      <c r="A46" s="263"/>
      <c r="B46" s="1027" t="s">
        <v>390</v>
      </c>
      <c r="C46" s="1027"/>
      <c r="D46" s="1027"/>
      <c r="E46" s="1027"/>
      <c r="F46" s="1027"/>
      <c r="G46" s="1027"/>
      <c r="H46" s="1027"/>
      <c r="I46" s="305"/>
      <c r="J46" s="306"/>
      <c r="K46" s="185"/>
      <c r="L46" s="185"/>
      <c r="M46" s="184"/>
      <c r="N46" s="307"/>
      <c r="O46" s="268"/>
      <c r="P46" s="182"/>
      <c r="Q46" s="182"/>
      <c r="R46" s="294"/>
      <c r="X46" s="173"/>
      <c r="Y46" s="177"/>
      <c r="Z46" s="177"/>
      <c r="AA46" s="177"/>
      <c r="AB46" s="177"/>
      <c r="AC46" s="172"/>
      <c r="AD46" s="310"/>
    </row>
    <row r="47" spans="1:30">
      <c r="A47" s="263"/>
      <c r="B47" s="218" t="s">
        <v>384</v>
      </c>
      <c r="C47" s="305"/>
      <c r="D47" s="305"/>
      <c r="E47" s="305"/>
      <c r="F47" s="193"/>
      <c r="G47" s="307"/>
      <c r="H47" s="307"/>
      <c r="I47" s="305"/>
      <c r="J47" s="306"/>
      <c r="K47" s="185"/>
      <c r="L47" s="185"/>
      <c r="M47" s="184"/>
      <c r="N47" s="307"/>
      <c r="O47" s="268"/>
      <c r="P47" s="182"/>
      <c r="Q47" s="182"/>
      <c r="R47" s="294"/>
      <c r="X47" s="173"/>
      <c r="Y47" s="177"/>
      <c r="Z47" s="177"/>
      <c r="AA47" s="177"/>
      <c r="AB47" s="177"/>
      <c r="AC47" s="172"/>
      <c r="AD47" s="310"/>
    </row>
    <row r="48" spans="1:30">
      <c r="A48" s="263"/>
      <c r="B48" s="1019" t="s">
        <v>387</v>
      </c>
      <c r="C48" s="1019"/>
      <c r="D48" s="1019"/>
      <c r="E48" s="1019"/>
      <c r="F48" s="1019"/>
      <c r="G48" s="307"/>
      <c r="H48" s="203">
        <v>1</v>
      </c>
      <c r="I48" s="313" t="s">
        <v>1</v>
      </c>
      <c r="J48" s="203">
        <f>L48/0.1</f>
        <v>18.999999999999996</v>
      </c>
      <c r="K48" s="313" t="s">
        <v>1</v>
      </c>
      <c r="L48" s="186">
        <v>1.9</v>
      </c>
      <c r="M48" s="190" t="s">
        <v>0</v>
      </c>
      <c r="N48" s="213">
        <f t="shared" ref="N48:N49" si="3">L48*J48*H48</f>
        <v>36.099999999999994</v>
      </c>
      <c r="O48" s="294" t="s">
        <v>13</v>
      </c>
      <c r="P48" s="182"/>
      <c r="Q48" s="182"/>
      <c r="R48" s="294"/>
      <c r="X48" s="173"/>
      <c r="Y48" s="177"/>
      <c r="Z48" s="177"/>
      <c r="AA48" s="177"/>
      <c r="AB48" s="177"/>
      <c r="AC48" s="172"/>
      <c r="AD48" s="310"/>
    </row>
    <row r="49" spans="1:30">
      <c r="A49" s="263"/>
      <c r="B49" s="1019" t="s">
        <v>388</v>
      </c>
      <c r="C49" s="1019"/>
      <c r="D49" s="1019"/>
      <c r="E49" s="1019"/>
      <c r="F49" s="1019"/>
      <c r="G49" s="307"/>
      <c r="H49" s="203">
        <v>1</v>
      </c>
      <c r="I49" s="313" t="s">
        <v>1</v>
      </c>
      <c r="J49" s="203">
        <f>L48/0.1</f>
        <v>18.999999999999996</v>
      </c>
      <c r="K49" s="313" t="s">
        <v>1</v>
      </c>
      <c r="L49" s="186">
        <f>L48</f>
        <v>1.9</v>
      </c>
      <c r="M49" s="190" t="s">
        <v>0</v>
      </c>
      <c r="N49" s="213">
        <f t="shared" si="3"/>
        <v>36.099999999999994</v>
      </c>
      <c r="O49" s="294" t="s">
        <v>13</v>
      </c>
      <c r="P49" s="182"/>
      <c r="Q49" s="182"/>
      <c r="R49" s="294"/>
      <c r="X49" s="173"/>
      <c r="Y49" s="177"/>
      <c r="Z49" s="177"/>
      <c r="AA49" s="177"/>
      <c r="AB49" s="177"/>
      <c r="AC49" s="172"/>
      <c r="AD49" s="310"/>
    </row>
    <row r="50" spans="1:30">
      <c r="A50" s="263"/>
      <c r="B50" s="211"/>
      <c r="C50" s="212"/>
      <c r="D50" s="185"/>
      <c r="E50" s="185"/>
      <c r="F50" s="313"/>
      <c r="G50" s="313"/>
      <c r="H50" s="203"/>
      <c r="I50" s="313"/>
      <c r="J50" s="186"/>
      <c r="K50" s="184"/>
      <c r="L50" s="186" t="s">
        <v>8</v>
      </c>
      <c r="M50" s="190" t="s">
        <v>0</v>
      </c>
      <c r="N50" s="214">
        <f>SUM(N48:N49)</f>
        <v>72.199999999999989</v>
      </c>
      <c r="O50" s="280" t="s">
        <v>13</v>
      </c>
      <c r="P50" s="182"/>
      <c r="Q50" s="182"/>
      <c r="R50" s="294"/>
      <c r="X50" s="173"/>
      <c r="Y50" s="177"/>
      <c r="Z50" s="177"/>
      <c r="AA50" s="177"/>
      <c r="AB50" s="177"/>
      <c r="AC50" s="172"/>
      <c r="AD50" s="310"/>
    </row>
    <row r="51" spans="1:30">
      <c r="A51" s="263"/>
      <c r="B51" s="192"/>
      <c r="C51" s="192"/>
      <c r="D51" s="192"/>
      <c r="E51" s="185"/>
      <c r="F51" s="193" t="s">
        <v>350</v>
      </c>
      <c r="G51" s="307" t="s">
        <v>11</v>
      </c>
      <c r="H51" s="307">
        <v>1.58</v>
      </c>
      <c r="I51" s="1010" t="s">
        <v>353</v>
      </c>
      <c r="J51" s="1015"/>
      <c r="K51" s="185"/>
      <c r="L51" s="185"/>
      <c r="M51" s="184" t="s">
        <v>0</v>
      </c>
      <c r="N51" s="307">
        <f>H51*N50</f>
        <v>114.07599999999999</v>
      </c>
      <c r="O51" s="268" t="s">
        <v>100</v>
      </c>
      <c r="P51" s="182"/>
      <c r="Q51" s="182"/>
      <c r="R51" s="294"/>
      <c r="X51" s="173"/>
      <c r="Y51" s="177"/>
      <c r="Z51" s="177"/>
      <c r="AA51" s="177"/>
      <c r="AB51" s="177"/>
      <c r="AC51" s="172"/>
      <c r="AD51" s="310"/>
    </row>
    <row r="52" spans="1:30" ht="34.5" customHeight="1">
      <c r="A52" s="263"/>
      <c r="B52" s="1019" t="s">
        <v>385</v>
      </c>
      <c r="C52" s="1019"/>
      <c r="D52" s="1019"/>
      <c r="E52" s="1019"/>
      <c r="F52" s="1019"/>
      <c r="G52" s="1019"/>
      <c r="H52" s="203">
        <v>1</v>
      </c>
      <c r="I52" s="313" t="s">
        <v>1</v>
      </c>
      <c r="J52" s="203">
        <f>L48/0.1</f>
        <v>18.999999999999996</v>
      </c>
      <c r="K52" s="313" t="s">
        <v>1</v>
      </c>
      <c r="L52" s="186">
        <v>1.5</v>
      </c>
      <c r="M52" s="190" t="s">
        <v>0</v>
      </c>
      <c r="N52" s="213">
        <f>L52*J52*H52</f>
        <v>28.499999999999993</v>
      </c>
      <c r="O52" s="304" t="s">
        <v>13</v>
      </c>
      <c r="P52" s="182"/>
      <c r="Q52" s="182"/>
      <c r="R52" s="294"/>
      <c r="X52" s="173"/>
      <c r="Y52" s="177"/>
      <c r="Z52" s="177"/>
      <c r="AA52" s="177"/>
      <c r="AB52" s="177"/>
      <c r="AC52" s="172"/>
      <c r="AD52" s="310"/>
    </row>
    <row r="53" spans="1:30">
      <c r="A53" s="263"/>
      <c r="B53" s="211"/>
      <c r="C53" s="212"/>
      <c r="D53" s="185"/>
      <c r="E53" s="185"/>
      <c r="F53" s="313"/>
      <c r="G53" s="313"/>
      <c r="H53" s="203"/>
      <c r="I53" s="313"/>
      <c r="J53" s="186"/>
      <c r="K53" s="184"/>
      <c r="L53" s="186" t="s">
        <v>8</v>
      </c>
      <c r="M53" s="190" t="s">
        <v>0</v>
      </c>
      <c r="N53" s="214">
        <f>SUM(N52)</f>
        <v>28.499999999999993</v>
      </c>
      <c r="O53" s="280" t="s">
        <v>13</v>
      </c>
      <c r="P53" s="182"/>
      <c r="Q53" s="182"/>
      <c r="R53" s="294"/>
      <c r="X53" s="173"/>
      <c r="Y53" s="177"/>
      <c r="Z53" s="177"/>
      <c r="AA53" s="177"/>
      <c r="AB53" s="177"/>
      <c r="AC53" s="172"/>
      <c r="AD53" s="310"/>
    </row>
    <row r="54" spans="1:30">
      <c r="A54" s="263"/>
      <c r="B54" s="192"/>
      <c r="C54" s="192"/>
      <c r="D54" s="192"/>
      <c r="E54" s="185"/>
      <c r="F54" s="193" t="s">
        <v>350</v>
      </c>
      <c r="G54" s="307" t="s">
        <v>11</v>
      </c>
      <c r="H54" s="307">
        <v>0.39</v>
      </c>
      <c r="I54" s="1010" t="s">
        <v>353</v>
      </c>
      <c r="J54" s="1015"/>
      <c r="K54" s="185"/>
      <c r="L54" s="185"/>
      <c r="M54" s="184" t="s">
        <v>0</v>
      </c>
      <c r="N54" s="307">
        <f>H54*N53</f>
        <v>11.114999999999998</v>
      </c>
      <c r="O54" s="268" t="s">
        <v>100</v>
      </c>
      <c r="P54" s="182"/>
      <c r="Q54" s="182"/>
      <c r="R54" s="294"/>
      <c r="X54" s="173"/>
      <c r="Y54" s="177"/>
      <c r="Z54" s="177"/>
      <c r="AA54" s="177"/>
      <c r="AB54" s="177"/>
      <c r="AC54" s="172"/>
      <c r="AD54" s="310"/>
    </row>
    <row r="55" spans="1:30">
      <c r="A55" s="263"/>
      <c r="B55" s="1023" t="s">
        <v>391</v>
      </c>
      <c r="C55" s="1023"/>
      <c r="D55" s="1023"/>
      <c r="E55" s="1023"/>
      <c r="F55" s="1023"/>
      <c r="G55" s="307"/>
      <c r="H55" s="307"/>
      <c r="I55" s="305"/>
      <c r="J55" s="306"/>
      <c r="K55" s="185"/>
      <c r="L55" s="185"/>
      <c r="M55" s="184"/>
      <c r="N55" s="307"/>
      <c r="O55" s="157"/>
      <c r="R55" s="157"/>
      <c r="X55" s="173"/>
      <c r="Y55" s="177"/>
      <c r="Z55" s="177"/>
      <c r="AA55" s="177"/>
      <c r="AB55" s="177"/>
      <c r="AC55" s="172"/>
      <c r="AD55" s="310"/>
    </row>
    <row r="56" spans="1:30">
      <c r="A56" s="263"/>
      <c r="B56" s="1025" t="s">
        <v>422</v>
      </c>
      <c r="C56" s="1025"/>
      <c r="D56" s="1025"/>
      <c r="E56" s="1025"/>
      <c r="F56" s="1025"/>
      <c r="G56" s="1025"/>
      <c r="H56" s="1025"/>
      <c r="I56" s="305"/>
      <c r="J56" s="306"/>
      <c r="K56" s="185"/>
      <c r="L56" s="185"/>
      <c r="M56" s="184"/>
      <c r="N56" s="307"/>
      <c r="O56" s="268"/>
      <c r="P56" s="182"/>
      <c r="Q56" s="182"/>
      <c r="R56" s="294"/>
      <c r="X56" s="173"/>
      <c r="Y56" s="177"/>
      <c r="Z56" s="177"/>
      <c r="AA56" s="177"/>
      <c r="AB56" s="177"/>
      <c r="AC56" s="172"/>
      <c r="AD56" s="310"/>
    </row>
    <row r="57" spans="1:30">
      <c r="A57" s="263"/>
      <c r="B57" s="1014" t="s">
        <v>392</v>
      </c>
      <c r="C57" s="1014"/>
      <c r="D57" s="1014"/>
      <c r="E57" s="1014"/>
      <c r="F57" s="1014"/>
      <c r="G57" s="307"/>
      <c r="H57" s="203">
        <v>1</v>
      </c>
      <c r="I57" s="313" t="s">
        <v>1</v>
      </c>
      <c r="J57" s="203">
        <f>L58/0.1</f>
        <v>110</v>
      </c>
      <c r="K57" s="313" t="s">
        <v>1</v>
      </c>
      <c r="L57" s="186">
        <v>8</v>
      </c>
      <c r="M57" s="190" t="s">
        <v>0</v>
      </c>
      <c r="N57" s="213">
        <f t="shared" ref="N57:N64" si="4">L57*J57*H57</f>
        <v>880</v>
      </c>
      <c r="O57" s="294" t="s">
        <v>13</v>
      </c>
      <c r="P57" s="182"/>
      <c r="Q57" s="182"/>
      <c r="R57" s="294"/>
      <c r="X57" s="173"/>
      <c r="Y57" s="177"/>
      <c r="Z57" s="177"/>
      <c r="AA57" s="177"/>
      <c r="AB57" s="177"/>
      <c r="AC57" s="172"/>
      <c r="AD57" s="310"/>
    </row>
    <row r="58" spans="1:30" ht="15" customHeight="1">
      <c r="A58" s="263"/>
      <c r="B58" s="1014" t="s">
        <v>393</v>
      </c>
      <c r="C58" s="1014"/>
      <c r="D58" s="1014"/>
      <c r="E58" s="1014"/>
      <c r="F58" s="1014"/>
      <c r="G58" s="307"/>
      <c r="H58" s="203">
        <v>1</v>
      </c>
      <c r="I58" s="313" t="s">
        <v>1</v>
      </c>
      <c r="J58" s="203">
        <f>L57/0.1</f>
        <v>80</v>
      </c>
      <c r="K58" s="313" t="s">
        <v>1</v>
      </c>
      <c r="L58" s="186">
        <v>11</v>
      </c>
      <c r="M58" s="190" t="s">
        <v>0</v>
      </c>
      <c r="N58" s="213">
        <f t="shared" si="4"/>
        <v>880</v>
      </c>
      <c r="O58" s="294" t="s">
        <v>13</v>
      </c>
      <c r="P58" s="182"/>
      <c r="Q58" s="182"/>
      <c r="R58" s="294"/>
      <c r="X58" s="173"/>
      <c r="Y58" s="177"/>
      <c r="Z58" s="177"/>
      <c r="AA58" s="177"/>
      <c r="AB58" s="177"/>
      <c r="AC58" s="172"/>
      <c r="AD58" s="310"/>
    </row>
    <row r="59" spans="1:30" ht="29.25" customHeight="1">
      <c r="A59" s="263"/>
      <c r="B59" s="1017" t="s">
        <v>394</v>
      </c>
      <c r="C59" s="1017"/>
      <c r="D59" s="1017"/>
      <c r="E59" s="1017"/>
      <c r="F59" s="1017"/>
      <c r="G59" s="307"/>
      <c r="H59" s="203">
        <v>1</v>
      </c>
      <c r="I59" s="313" t="s">
        <v>1</v>
      </c>
      <c r="J59" s="203">
        <f>L60/0.2</f>
        <v>55</v>
      </c>
      <c r="K59" s="313" t="s">
        <v>1</v>
      </c>
      <c r="L59" s="186">
        <f>L57</f>
        <v>8</v>
      </c>
      <c r="M59" s="190" t="s">
        <v>0</v>
      </c>
      <c r="N59" s="213">
        <f t="shared" si="4"/>
        <v>440</v>
      </c>
      <c r="O59" s="294" t="s">
        <v>13</v>
      </c>
      <c r="P59" s="182"/>
      <c r="Q59" s="182"/>
      <c r="R59" s="294"/>
      <c r="X59" s="173"/>
      <c r="Y59" s="177"/>
      <c r="Z59" s="177"/>
      <c r="AA59" s="177"/>
      <c r="AB59" s="177"/>
      <c r="AC59" s="172"/>
      <c r="AD59" s="310"/>
    </row>
    <row r="60" spans="1:30" ht="15" customHeight="1">
      <c r="A60" s="263"/>
      <c r="B60" s="1017" t="s">
        <v>393</v>
      </c>
      <c r="C60" s="1017"/>
      <c r="D60" s="1017"/>
      <c r="E60" s="1017"/>
      <c r="F60" s="1017"/>
      <c r="G60" s="307"/>
      <c r="H60" s="203">
        <v>1</v>
      </c>
      <c r="I60" s="313" t="s">
        <v>1</v>
      </c>
      <c r="J60" s="203">
        <f>L59/0.2</f>
        <v>40</v>
      </c>
      <c r="K60" s="313" t="s">
        <v>1</v>
      </c>
      <c r="L60" s="186">
        <f>L58</f>
        <v>11</v>
      </c>
      <c r="M60" s="190" t="s">
        <v>0</v>
      </c>
      <c r="N60" s="213">
        <f t="shared" si="4"/>
        <v>440</v>
      </c>
      <c r="O60" s="294" t="s">
        <v>13</v>
      </c>
      <c r="P60" s="182"/>
      <c r="Q60" s="182"/>
      <c r="R60" s="294"/>
      <c r="X60" s="173"/>
      <c r="Y60" s="177"/>
      <c r="Z60" s="177"/>
      <c r="AA60" s="177"/>
      <c r="AB60" s="177"/>
      <c r="AC60" s="172"/>
      <c r="AD60" s="310"/>
    </row>
    <row r="61" spans="1:30" ht="15" customHeight="1">
      <c r="A61" s="263"/>
      <c r="B61" s="1017" t="s">
        <v>395</v>
      </c>
      <c r="C61" s="1017"/>
      <c r="D61" s="1017"/>
      <c r="E61" s="1017"/>
      <c r="F61" s="1017"/>
      <c r="G61" s="307"/>
      <c r="H61" s="203">
        <v>1</v>
      </c>
      <c r="I61" s="313" t="s">
        <v>1</v>
      </c>
      <c r="J61" s="203">
        <f>L62/0.2</f>
        <v>55</v>
      </c>
      <c r="K61" s="313" t="s">
        <v>1</v>
      </c>
      <c r="L61" s="186">
        <f>L57</f>
        <v>8</v>
      </c>
      <c r="M61" s="190" t="s">
        <v>0</v>
      </c>
      <c r="N61" s="213">
        <f t="shared" si="4"/>
        <v>440</v>
      </c>
      <c r="O61" s="294" t="s">
        <v>13</v>
      </c>
      <c r="P61" s="182"/>
      <c r="Q61" s="182"/>
      <c r="R61" s="294"/>
      <c r="X61" s="173"/>
      <c r="Y61" s="177"/>
      <c r="Z61" s="177"/>
      <c r="AA61" s="177"/>
      <c r="AB61" s="177"/>
      <c r="AC61" s="172"/>
      <c r="AD61" s="310"/>
    </row>
    <row r="62" spans="1:30" ht="15" customHeight="1">
      <c r="A62" s="263"/>
      <c r="B62" s="1017" t="s">
        <v>393</v>
      </c>
      <c r="C62" s="1017"/>
      <c r="D62" s="1017"/>
      <c r="E62" s="1017"/>
      <c r="F62" s="1017"/>
      <c r="G62" s="307"/>
      <c r="H62" s="203">
        <v>1</v>
      </c>
      <c r="I62" s="313" t="s">
        <v>1</v>
      </c>
      <c r="J62" s="203">
        <f>L61/0.2</f>
        <v>40</v>
      </c>
      <c r="K62" s="313" t="s">
        <v>1</v>
      </c>
      <c r="L62" s="186">
        <f>L58</f>
        <v>11</v>
      </c>
      <c r="M62" s="190" t="s">
        <v>0</v>
      </c>
      <c r="N62" s="213">
        <f t="shared" si="4"/>
        <v>440</v>
      </c>
      <c r="O62" s="294" t="s">
        <v>13</v>
      </c>
      <c r="P62" s="182"/>
      <c r="Q62" s="182"/>
      <c r="R62" s="294"/>
      <c r="X62" s="173"/>
      <c r="Y62" s="177"/>
      <c r="Z62" s="177"/>
      <c r="AA62" s="177"/>
      <c r="AB62" s="177"/>
      <c r="AC62" s="172"/>
      <c r="AD62" s="310"/>
    </row>
    <row r="63" spans="1:30" ht="15" customHeight="1">
      <c r="A63" s="263"/>
      <c r="B63" s="1014" t="s">
        <v>396</v>
      </c>
      <c r="C63" s="1014"/>
      <c r="D63" s="1014"/>
      <c r="E63" s="1014"/>
      <c r="F63" s="1014"/>
      <c r="G63" s="307"/>
      <c r="H63" s="203">
        <v>1</v>
      </c>
      <c r="I63" s="313" t="s">
        <v>1</v>
      </c>
      <c r="J63" s="203">
        <f>L64/0.2</f>
        <v>55</v>
      </c>
      <c r="K63" s="313" t="s">
        <v>1</v>
      </c>
      <c r="L63" s="186">
        <f>L57</f>
        <v>8</v>
      </c>
      <c r="M63" s="190" t="s">
        <v>0</v>
      </c>
      <c r="N63" s="213">
        <f t="shared" si="4"/>
        <v>440</v>
      </c>
      <c r="O63" s="294" t="s">
        <v>13</v>
      </c>
      <c r="P63" s="182"/>
      <c r="Q63" s="182"/>
      <c r="R63" s="294"/>
      <c r="X63" s="173"/>
      <c r="Y63" s="177"/>
      <c r="Z63" s="177"/>
      <c r="AA63" s="177"/>
      <c r="AB63" s="177"/>
      <c r="AC63" s="172"/>
      <c r="AD63" s="310"/>
    </row>
    <row r="64" spans="1:30" ht="15" customHeight="1">
      <c r="A64" s="263"/>
      <c r="B64" s="1017" t="s">
        <v>393</v>
      </c>
      <c r="C64" s="1017"/>
      <c r="D64" s="1017"/>
      <c r="E64" s="1017"/>
      <c r="F64" s="1017"/>
      <c r="G64" s="307"/>
      <c r="H64" s="203">
        <v>1</v>
      </c>
      <c r="I64" s="313" t="s">
        <v>1</v>
      </c>
      <c r="J64" s="203">
        <f>L63/0.2</f>
        <v>40</v>
      </c>
      <c r="K64" s="313" t="s">
        <v>1</v>
      </c>
      <c r="L64" s="186">
        <f>L58</f>
        <v>11</v>
      </c>
      <c r="M64" s="190" t="s">
        <v>0</v>
      </c>
      <c r="N64" s="213">
        <f t="shared" si="4"/>
        <v>440</v>
      </c>
      <c r="O64" s="294" t="s">
        <v>13</v>
      </c>
      <c r="P64" s="182"/>
      <c r="Q64" s="182"/>
      <c r="R64" s="294"/>
      <c r="X64" s="173"/>
      <c r="Y64" s="177"/>
      <c r="Z64" s="177"/>
      <c r="AA64" s="177"/>
      <c r="AB64" s="177"/>
      <c r="AC64" s="172"/>
      <c r="AD64" s="310"/>
    </row>
    <row r="65" spans="1:30" ht="15" customHeight="1">
      <c r="A65" s="263"/>
      <c r="B65" s="309"/>
      <c r="C65" s="309"/>
      <c r="D65" s="309"/>
      <c r="E65" s="309"/>
      <c r="F65" s="309"/>
      <c r="G65" s="307"/>
      <c r="H65" s="203"/>
      <c r="I65" s="313"/>
      <c r="J65" s="203"/>
      <c r="K65" s="313"/>
      <c r="L65" s="186"/>
      <c r="M65" s="190"/>
      <c r="N65" s="213"/>
      <c r="O65" s="294"/>
      <c r="P65" s="182"/>
      <c r="Q65" s="182"/>
      <c r="R65" s="294"/>
      <c r="X65" s="173"/>
      <c r="Y65" s="177"/>
      <c r="Z65" s="177"/>
      <c r="AA65" s="177"/>
      <c r="AB65" s="177"/>
      <c r="AC65" s="172"/>
      <c r="AD65" s="310"/>
    </row>
    <row r="66" spans="1:30" ht="20.25" customHeight="1">
      <c r="A66" s="264"/>
      <c r="B66" s="1020" t="s">
        <v>397</v>
      </c>
      <c r="C66" s="1020"/>
      <c r="D66" s="1020"/>
      <c r="E66" s="1020"/>
      <c r="F66" s="1020"/>
      <c r="G66" s="1020"/>
      <c r="H66" s="1020"/>
      <c r="I66" s="220"/>
      <c r="J66" s="221"/>
      <c r="K66" s="220"/>
      <c r="L66" s="222"/>
      <c r="M66" s="223"/>
      <c r="N66" s="224"/>
      <c r="O66" s="271"/>
      <c r="P66" s="219"/>
      <c r="Q66" s="219"/>
      <c r="R66" s="271"/>
      <c r="X66" s="173"/>
      <c r="Y66" s="177"/>
      <c r="Z66" s="177"/>
      <c r="AA66" s="177"/>
      <c r="AB66" s="177"/>
      <c r="AC66" s="172"/>
      <c r="AD66" s="310"/>
    </row>
    <row r="67" spans="1:30" ht="15" customHeight="1">
      <c r="A67" s="263"/>
      <c r="B67" s="1021" t="s">
        <v>429</v>
      </c>
      <c r="C67" s="1021"/>
      <c r="D67" s="1021"/>
      <c r="E67" s="1021"/>
      <c r="F67" s="1021"/>
      <c r="G67" s="1021"/>
      <c r="H67" s="1021"/>
      <c r="I67" s="313"/>
      <c r="J67" s="203"/>
      <c r="K67" s="313"/>
      <c r="L67" s="186"/>
      <c r="M67" s="190"/>
      <c r="N67" s="213"/>
      <c r="O67" s="294"/>
      <c r="P67" s="182"/>
      <c r="Q67" s="182"/>
      <c r="R67" s="294"/>
      <c r="X67" s="173"/>
      <c r="Y67" s="177"/>
      <c r="Z67" s="177"/>
      <c r="AA67" s="177"/>
      <c r="AB67" s="177"/>
      <c r="AC67" s="172"/>
      <c r="AD67" s="310"/>
    </row>
    <row r="68" spans="1:30" ht="15" customHeight="1">
      <c r="A68" s="263"/>
      <c r="B68" s="1014" t="s">
        <v>392</v>
      </c>
      <c r="C68" s="1014"/>
      <c r="D68" s="1014"/>
      <c r="E68" s="1014"/>
      <c r="F68" s="1014"/>
      <c r="G68" s="307"/>
      <c r="H68" s="203">
        <v>2</v>
      </c>
      <c r="I68" s="313" t="s">
        <v>1</v>
      </c>
      <c r="J68" s="203">
        <f>L69/0.1</f>
        <v>80</v>
      </c>
      <c r="K68" s="313" t="s">
        <v>1</v>
      </c>
      <c r="L68" s="186">
        <v>0.5</v>
      </c>
      <c r="M68" s="190" t="s">
        <v>0</v>
      </c>
      <c r="N68" s="213">
        <f t="shared" ref="N68:N71" si="5">L68*J68*H68</f>
        <v>80</v>
      </c>
      <c r="O68" s="294" t="s">
        <v>13</v>
      </c>
      <c r="P68" s="182"/>
      <c r="Q68" s="182"/>
      <c r="R68" s="294"/>
      <c r="X68" s="173"/>
      <c r="Y68" s="177"/>
      <c r="Z68" s="177"/>
      <c r="AA68" s="177"/>
      <c r="AB68" s="177"/>
      <c r="AC68" s="172"/>
      <c r="AD68" s="310"/>
    </row>
    <row r="69" spans="1:30" ht="15" customHeight="1">
      <c r="A69" s="263"/>
      <c r="B69" s="1014" t="s">
        <v>393</v>
      </c>
      <c r="C69" s="1014"/>
      <c r="D69" s="1014"/>
      <c r="E69" s="1014"/>
      <c r="F69" s="1014"/>
      <c r="G69" s="307"/>
      <c r="H69" s="203">
        <v>2</v>
      </c>
      <c r="I69" s="313" t="s">
        <v>1</v>
      </c>
      <c r="J69" s="203">
        <f>L68/0.1</f>
        <v>5</v>
      </c>
      <c r="K69" s="313" t="s">
        <v>1</v>
      </c>
      <c r="L69" s="186">
        <f>L57</f>
        <v>8</v>
      </c>
      <c r="M69" s="190" t="s">
        <v>0</v>
      </c>
      <c r="N69" s="213">
        <f t="shared" si="5"/>
        <v>80</v>
      </c>
      <c r="O69" s="294" t="s">
        <v>13</v>
      </c>
      <c r="P69" s="182"/>
      <c r="Q69" s="182"/>
      <c r="R69" s="294"/>
      <c r="X69" s="173"/>
      <c r="Y69" s="177"/>
      <c r="Z69" s="177"/>
      <c r="AA69" s="177"/>
      <c r="AB69" s="177"/>
      <c r="AC69" s="172"/>
      <c r="AD69" s="310"/>
    </row>
    <row r="70" spans="1:30" ht="28.5" customHeight="1">
      <c r="A70" s="263"/>
      <c r="B70" s="1017" t="s">
        <v>395</v>
      </c>
      <c r="C70" s="1017"/>
      <c r="D70" s="1017"/>
      <c r="E70" s="1017"/>
      <c r="F70" s="1017"/>
      <c r="G70" s="307"/>
      <c r="H70" s="203">
        <v>2</v>
      </c>
      <c r="I70" s="313" t="s">
        <v>1</v>
      </c>
      <c r="J70" s="203">
        <f>L71/0.1</f>
        <v>110</v>
      </c>
      <c r="K70" s="313" t="s">
        <v>1</v>
      </c>
      <c r="L70" s="186">
        <f>L68</f>
        <v>0.5</v>
      </c>
      <c r="M70" s="190" t="s">
        <v>0</v>
      </c>
      <c r="N70" s="213">
        <f t="shared" si="5"/>
        <v>110</v>
      </c>
      <c r="O70" s="304" t="s">
        <v>13</v>
      </c>
      <c r="P70" s="182"/>
      <c r="Q70" s="182"/>
      <c r="R70" s="294"/>
      <c r="X70" s="173"/>
      <c r="Y70" s="177"/>
      <c r="Z70" s="177"/>
      <c r="AA70" s="177"/>
      <c r="AB70" s="177"/>
      <c r="AC70" s="172"/>
      <c r="AD70" s="310"/>
    </row>
    <row r="71" spans="1:30" ht="15" customHeight="1">
      <c r="A71" s="263"/>
      <c r="B71" s="1014" t="s">
        <v>393</v>
      </c>
      <c r="C71" s="1014"/>
      <c r="D71" s="1014"/>
      <c r="E71" s="1014"/>
      <c r="F71" s="1014"/>
      <c r="G71" s="307"/>
      <c r="H71" s="203">
        <v>2</v>
      </c>
      <c r="I71" s="313" t="s">
        <v>1</v>
      </c>
      <c r="J71" s="203">
        <f>J69</f>
        <v>5</v>
      </c>
      <c r="K71" s="313" t="s">
        <v>1</v>
      </c>
      <c r="L71" s="186">
        <f>L58</f>
        <v>11</v>
      </c>
      <c r="M71" s="190" t="s">
        <v>0</v>
      </c>
      <c r="N71" s="213">
        <f t="shared" si="5"/>
        <v>110</v>
      </c>
      <c r="O71" s="294" t="s">
        <v>13</v>
      </c>
      <c r="P71" s="182"/>
      <c r="Q71" s="182"/>
      <c r="R71" s="294"/>
      <c r="X71" s="173"/>
      <c r="Y71" s="177"/>
      <c r="Z71" s="177"/>
      <c r="AA71" s="177"/>
      <c r="AB71" s="177"/>
      <c r="AC71" s="172"/>
      <c r="AD71" s="310"/>
    </row>
    <row r="72" spans="1:30" ht="15" customHeight="1">
      <c r="A72" s="263"/>
      <c r="B72" s="211"/>
      <c r="C72" s="212"/>
      <c r="D72" s="185"/>
      <c r="E72" s="185"/>
      <c r="F72" s="313"/>
      <c r="G72" s="313"/>
      <c r="H72" s="203"/>
      <c r="I72" s="313"/>
      <c r="J72" s="186"/>
      <c r="K72" s="184"/>
      <c r="L72" s="186" t="s">
        <v>8</v>
      </c>
      <c r="M72" s="190" t="s">
        <v>0</v>
      </c>
      <c r="N72" s="214">
        <f>SUM(N57:N71)</f>
        <v>4780</v>
      </c>
      <c r="O72" s="280" t="s">
        <v>13</v>
      </c>
      <c r="P72" s="182"/>
      <c r="Q72" s="182"/>
      <c r="R72" s="294"/>
      <c r="X72" s="173"/>
      <c r="Y72" s="177"/>
      <c r="Z72" s="177"/>
      <c r="AA72" s="177"/>
      <c r="AB72" s="177"/>
      <c r="AC72" s="172"/>
      <c r="AD72" s="310"/>
    </row>
    <row r="73" spans="1:30" ht="15" customHeight="1">
      <c r="A73" s="263"/>
      <c r="B73" s="192"/>
      <c r="C73" s="192"/>
      <c r="D73" s="192"/>
      <c r="E73" s="185"/>
      <c r="F73" s="193" t="s">
        <v>350</v>
      </c>
      <c r="G73" s="307" t="s">
        <v>11</v>
      </c>
      <c r="H73" s="307">
        <v>0.62</v>
      </c>
      <c r="I73" s="1010" t="s">
        <v>353</v>
      </c>
      <c r="J73" s="1015"/>
      <c r="K73" s="185"/>
      <c r="L73" s="185"/>
      <c r="M73" s="184" t="s">
        <v>0</v>
      </c>
      <c r="N73" s="307">
        <f>H73*N72</f>
        <v>2963.6</v>
      </c>
      <c r="O73" s="268" t="s">
        <v>100</v>
      </c>
      <c r="P73" s="182"/>
      <c r="Q73" s="182"/>
      <c r="R73" s="294"/>
      <c r="X73" s="173"/>
      <c r="Y73" s="177"/>
      <c r="Z73" s="177"/>
      <c r="AA73" s="177"/>
      <c r="AB73" s="177"/>
      <c r="AC73" s="172"/>
      <c r="AD73" s="310"/>
    </row>
    <row r="74" spans="1:30" ht="15" customHeight="1">
      <c r="A74" s="263"/>
      <c r="B74" s="192"/>
      <c r="C74" s="192"/>
      <c r="D74" s="192"/>
      <c r="E74" s="185"/>
      <c r="F74" s="193"/>
      <c r="G74" s="307"/>
      <c r="H74" s="307"/>
      <c r="I74" s="305"/>
      <c r="J74" s="306"/>
      <c r="K74" s="185"/>
      <c r="L74" s="185"/>
      <c r="M74" s="184"/>
      <c r="N74" s="307"/>
      <c r="O74" s="268"/>
      <c r="P74" s="182"/>
      <c r="Q74" s="182"/>
      <c r="R74" s="294"/>
      <c r="X74" s="173"/>
      <c r="Y74" s="177"/>
      <c r="Z74" s="177"/>
      <c r="AA74" s="177"/>
      <c r="AB74" s="177"/>
      <c r="AC74" s="172"/>
      <c r="AD74" s="310"/>
    </row>
    <row r="75" spans="1:30" ht="15" customHeight="1">
      <c r="A75" s="263"/>
      <c r="B75" s="1020" t="s">
        <v>449</v>
      </c>
      <c r="C75" s="1020"/>
      <c r="D75" s="1020"/>
      <c r="E75" s="1020"/>
      <c r="F75" s="1020"/>
      <c r="G75" s="1020"/>
      <c r="H75" s="1020"/>
      <c r="I75" s="220"/>
      <c r="J75" s="221"/>
      <c r="K75" s="220"/>
      <c r="L75" s="222"/>
      <c r="M75" s="223"/>
      <c r="N75" s="224"/>
      <c r="O75" s="271"/>
      <c r="P75" s="182"/>
      <c r="Q75" s="182"/>
      <c r="R75" s="294"/>
      <c r="X75" s="173"/>
      <c r="Y75" s="177"/>
      <c r="Z75" s="177"/>
      <c r="AA75" s="177"/>
      <c r="AB75" s="177"/>
      <c r="AC75" s="172"/>
      <c r="AD75" s="310"/>
    </row>
    <row r="76" spans="1:30" ht="15" customHeight="1">
      <c r="A76" s="263"/>
      <c r="B76" s="1021" t="s">
        <v>450</v>
      </c>
      <c r="C76" s="1021"/>
      <c r="D76" s="1021"/>
      <c r="E76" s="1021"/>
      <c r="F76" s="1021"/>
      <c r="G76" s="1021"/>
      <c r="H76" s="1021"/>
      <c r="I76" s="313"/>
      <c r="J76" s="203"/>
      <c r="K76" s="313"/>
      <c r="L76" s="186"/>
      <c r="M76" s="190"/>
      <c r="N76" s="213"/>
      <c r="O76" s="294"/>
      <c r="P76" s="182"/>
      <c r="Q76" s="182"/>
      <c r="R76" s="294"/>
      <c r="X76" s="173"/>
      <c r="Y76" s="177"/>
      <c r="Z76" s="177"/>
      <c r="AA76" s="177"/>
      <c r="AB76" s="177"/>
      <c r="AC76" s="172"/>
      <c r="AD76" s="310"/>
    </row>
    <row r="77" spans="1:30" ht="15" customHeight="1">
      <c r="A77" s="263"/>
      <c r="B77" s="1014" t="s">
        <v>392</v>
      </c>
      <c r="C77" s="1014"/>
      <c r="D77" s="1014"/>
      <c r="E77" s="1014"/>
      <c r="F77" s="1014"/>
      <c r="G77" s="307"/>
      <c r="H77" s="203">
        <v>1</v>
      </c>
      <c r="I77" s="313" t="s">
        <v>1</v>
      </c>
      <c r="J77" s="203">
        <f>L78/0.15</f>
        <v>113.33333333333334</v>
      </c>
      <c r="K77" s="313" t="s">
        <v>1</v>
      </c>
      <c r="L77" s="186">
        <v>0.6</v>
      </c>
      <c r="M77" s="190" t="s">
        <v>0</v>
      </c>
      <c r="N77" s="213">
        <f t="shared" ref="N77:N80" si="6">L77*J77*H77</f>
        <v>68</v>
      </c>
      <c r="O77" s="294" t="s">
        <v>13</v>
      </c>
      <c r="P77" s="182"/>
      <c r="Q77" s="182"/>
      <c r="R77" s="294"/>
      <c r="X77" s="173"/>
      <c r="Y77" s="177"/>
      <c r="Z77" s="177"/>
      <c r="AA77" s="177"/>
      <c r="AB77" s="177"/>
      <c r="AC77" s="172"/>
      <c r="AD77" s="310"/>
    </row>
    <row r="78" spans="1:30" ht="15" customHeight="1">
      <c r="A78" s="263"/>
      <c r="B78" s="1014" t="s">
        <v>393</v>
      </c>
      <c r="C78" s="1014"/>
      <c r="D78" s="1014"/>
      <c r="E78" s="1014"/>
      <c r="F78" s="1014"/>
      <c r="G78" s="307"/>
      <c r="H78" s="203">
        <v>1</v>
      </c>
      <c r="I78" s="313" t="s">
        <v>1</v>
      </c>
      <c r="J78" s="203">
        <f>L77/0.15</f>
        <v>4</v>
      </c>
      <c r="K78" s="313" t="s">
        <v>1</v>
      </c>
      <c r="L78" s="186">
        <v>17</v>
      </c>
      <c r="M78" s="190" t="s">
        <v>0</v>
      </c>
      <c r="N78" s="213">
        <f t="shared" si="6"/>
        <v>68</v>
      </c>
      <c r="O78" s="294" t="s">
        <v>13</v>
      </c>
      <c r="P78" s="182"/>
      <c r="Q78" s="182"/>
      <c r="R78" s="294"/>
      <c r="X78" s="173"/>
      <c r="Y78" s="177"/>
      <c r="Z78" s="177"/>
      <c r="AA78" s="177"/>
      <c r="AB78" s="177"/>
      <c r="AC78" s="172"/>
      <c r="AD78" s="310"/>
    </row>
    <row r="79" spans="1:30" ht="30" customHeight="1">
      <c r="A79" s="263"/>
      <c r="B79" s="1017" t="s">
        <v>395</v>
      </c>
      <c r="C79" s="1017"/>
      <c r="D79" s="1017"/>
      <c r="E79" s="1017"/>
      <c r="F79" s="1017"/>
      <c r="G79" s="307"/>
      <c r="H79" s="203">
        <v>1</v>
      </c>
      <c r="I79" s="313" t="s">
        <v>1</v>
      </c>
      <c r="J79" s="203">
        <f>J77</f>
        <v>113.33333333333334</v>
      </c>
      <c r="K79" s="313" t="s">
        <v>1</v>
      </c>
      <c r="L79" s="186">
        <f>L77</f>
        <v>0.6</v>
      </c>
      <c r="M79" s="190" t="s">
        <v>0</v>
      </c>
      <c r="N79" s="213">
        <f t="shared" si="6"/>
        <v>68</v>
      </c>
      <c r="O79" s="304" t="s">
        <v>13</v>
      </c>
      <c r="P79" s="182"/>
      <c r="Q79" s="182"/>
      <c r="R79" s="294"/>
      <c r="X79" s="173"/>
      <c r="Y79" s="177"/>
      <c r="Z79" s="177"/>
      <c r="AA79" s="177"/>
      <c r="AB79" s="177"/>
      <c r="AC79" s="172"/>
      <c r="AD79" s="310"/>
    </row>
    <row r="80" spans="1:30" ht="15" customHeight="1">
      <c r="A80" s="263"/>
      <c r="B80" s="1014" t="s">
        <v>393</v>
      </c>
      <c r="C80" s="1014"/>
      <c r="D80" s="1014"/>
      <c r="E80" s="1014"/>
      <c r="F80" s="1014"/>
      <c r="G80" s="307"/>
      <c r="H80" s="203">
        <v>1</v>
      </c>
      <c r="I80" s="313" t="s">
        <v>1</v>
      </c>
      <c r="J80" s="203">
        <f>J78</f>
        <v>4</v>
      </c>
      <c r="K80" s="313" t="s">
        <v>1</v>
      </c>
      <c r="L80" s="186">
        <f>L78</f>
        <v>17</v>
      </c>
      <c r="M80" s="190" t="s">
        <v>0</v>
      </c>
      <c r="N80" s="213">
        <f t="shared" si="6"/>
        <v>68</v>
      </c>
      <c r="O80" s="294" t="s">
        <v>13</v>
      </c>
      <c r="P80" s="182"/>
      <c r="Q80" s="182"/>
      <c r="R80" s="294"/>
      <c r="X80" s="173"/>
      <c r="Y80" s="177"/>
      <c r="Z80" s="177"/>
      <c r="AA80" s="177"/>
      <c r="AB80" s="177"/>
      <c r="AC80" s="172"/>
      <c r="AD80" s="310"/>
    </row>
    <row r="81" spans="1:30" ht="15" customHeight="1">
      <c r="A81" s="263"/>
      <c r="B81" s="211"/>
      <c r="C81" s="212"/>
      <c r="D81" s="185"/>
      <c r="E81" s="185"/>
      <c r="F81" s="313"/>
      <c r="G81" s="313"/>
      <c r="H81" s="203"/>
      <c r="I81" s="313"/>
      <c r="J81" s="186"/>
      <c r="K81" s="184"/>
      <c r="L81" s="186" t="s">
        <v>8</v>
      </c>
      <c r="M81" s="190" t="s">
        <v>0</v>
      </c>
      <c r="N81" s="214">
        <f>SUM(N77:N80)</f>
        <v>272</v>
      </c>
      <c r="O81" s="280" t="s">
        <v>13</v>
      </c>
      <c r="P81" s="182"/>
      <c r="Q81" s="182"/>
      <c r="R81" s="294"/>
      <c r="X81" s="173"/>
      <c r="Y81" s="177"/>
      <c r="Z81" s="177"/>
      <c r="AA81" s="177"/>
      <c r="AB81" s="177"/>
      <c r="AC81" s="172"/>
      <c r="AD81" s="310"/>
    </row>
    <row r="82" spans="1:30" ht="15" customHeight="1">
      <c r="A82" s="263"/>
      <c r="B82" s="192"/>
      <c r="C82" s="192"/>
      <c r="D82" s="192"/>
      <c r="E82" s="185"/>
      <c r="F82" s="193" t="s">
        <v>350</v>
      </c>
      <c r="G82" s="307" t="s">
        <v>11</v>
      </c>
      <c r="H82" s="307">
        <v>0.39</v>
      </c>
      <c r="I82" s="1010" t="s">
        <v>353</v>
      </c>
      <c r="J82" s="1015"/>
      <c r="K82" s="185"/>
      <c r="L82" s="185"/>
      <c r="M82" s="184" t="s">
        <v>0</v>
      </c>
      <c r="N82" s="307">
        <f>H82*N81</f>
        <v>106.08</v>
      </c>
      <c r="O82" s="268" t="s">
        <v>100</v>
      </c>
      <c r="P82" s="182"/>
      <c r="Q82" s="182"/>
      <c r="R82" s="294"/>
      <c r="X82" s="173"/>
      <c r="Y82" s="177"/>
      <c r="Z82" s="177"/>
      <c r="AA82" s="177"/>
      <c r="AB82" s="177"/>
      <c r="AC82" s="172"/>
      <c r="AD82" s="310"/>
    </row>
    <row r="83" spans="1:30">
      <c r="A83" s="294"/>
      <c r="B83" s="215"/>
      <c r="C83" s="215"/>
      <c r="D83" s="225"/>
      <c r="E83" s="225"/>
      <c r="F83" s="226"/>
      <c r="G83" s="315"/>
      <c r="H83" s="226"/>
      <c r="I83" s="1012" t="s">
        <v>359</v>
      </c>
      <c r="J83" s="1012"/>
      <c r="K83" s="1012"/>
      <c r="L83" s="1012"/>
      <c r="M83" s="228" t="s">
        <v>0</v>
      </c>
      <c r="N83" s="248">
        <f>N73+N54+N51+N30+N26+N18+N14+N36+N40</f>
        <v>4239.8189999999995</v>
      </c>
      <c r="O83" s="282" t="s">
        <v>100</v>
      </c>
      <c r="P83" s="190"/>
      <c r="Q83" s="205"/>
      <c r="R83" s="269"/>
    </row>
    <row r="84" spans="1:30" ht="31.5" customHeight="1">
      <c r="A84" s="294"/>
      <c r="B84" s="1026" t="s">
        <v>430</v>
      </c>
      <c r="C84" s="1026"/>
      <c r="D84" s="1026"/>
      <c r="E84" s="1026"/>
      <c r="F84" s="1026"/>
      <c r="G84" s="1026"/>
      <c r="H84" s="1026"/>
      <c r="I84" s="1026"/>
      <c r="J84" s="1026"/>
      <c r="K84" s="1026"/>
      <c r="L84" s="1026"/>
      <c r="M84" s="313" t="s">
        <v>0</v>
      </c>
      <c r="N84" s="288">
        <f>N83*0.05</f>
        <v>211.99095</v>
      </c>
      <c r="O84" s="274"/>
      <c r="P84" s="190"/>
      <c r="Q84" s="205"/>
      <c r="R84" s="269"/>
    </row>
    <row r="85" spans="1:30">
      <c r="A85" s="294"/>
      <c r="B85" s="229"/>
      <c r="C85" s="229"/>
      <c r="D85" s="229"/>
      <c r="E85" s="229"/>
      <c r="F85" s="229"/>
      <c r="G85" s="229"/>
      <c r="H85" s="996" t="s">
        <v>398</v>
      </c>
      <c r="I85" s="996"/>
      <c r="J85" s="996"/>
      <c r="K85" s="996"/>
      <c r="L85" s="996"/>
      <c r="M85" s="184" t="s">
        <v>0</v>
      </c>
      <c r="N85" s="249">
        <f>N84+N83</f>
        <v>4451.8099499999998</v>
      </c>
      <c r="O85" s="274" t="s">
        <v>100</v>
      </c>
      <c r="P85" s="190"/>
      <c r="Q85" s="205"/>
      <c r="R85" s="269"/>
    </row>
    <row r="86" spans="1:30">
      <c r="A86" s="294"/>
      <c r="B86" s="192"/>
      <c r="C86" s="192"/>
      <c r="D86" s="230"/>
      <c r="E86" s="230"/>
      <c r="F86" s="231"/>
      <c r="G86" s="304"/>
      <c r="H86" s="231"/>
      <c r="I86" s="304"/>
      <c r="J86" s="187"/>
      <c r="K86" s="190"/>
      <c r="L86" s="187"/>
      <c r="M86" s="184" t="s">
        <v>0</v>
      </c>
      <c r="N86" s="287">
        <f>N85/100</f>
        <v>44.518099499999998</v>
      </c>
      <c r="O86" s="281" t="s">
        <v>368</v>
      </c>
      <c r="P86" s="190"/>
      <c r="Q86" s="205"/>
      <c r="R86" s="269"/>
    </row>
    <row r="87" spans="1:30" ht="15" customHeight="1">
      <c r="A87" s="263"/>
      <c r="B87" s="182"/>
      <c r="C87" s="182"/>
      <c r="D87" s="182"/>
      <c r="E87" s="182"/>
      <c r="F87" s="182"/>
      <c r="G87" s="182"/>
      <c r="H87" s="182"/>
      <c r="I87" s="182"/>
      <c r="J87" s="193" t="s">
        <v>350</v>
      </c>
      <c r="K87" s="307" t="s">
        <v>11</v>
      </c>
      <c r="L87" s="989">
        <v>9938</v>
      </c>
      <c r="M87" s="989"/>
      <c r="N87" s="306" t="s">
        <v>360</v>
      </c>
      <c r="O87" s="294"/>
      <c r="P87" s="184" t="s">
        <v>0</v>
      </c>
      <c r="Q87" s="197" t="s">
        <v>11</v>
      </c>
      <c r="R87" s="268">
        <f>ROUND(N86*L87,0)</f>
        <v>442421</v>
      </c>
    </row>
    <row r="88" spans="1:30" ht="15" customHeight="1">
      <c r="A88" s="263"/>
      <c r="B88" s="182"/>
      <c r="C88" s="182"/>
      <c r="D88" s="182"/>
      <c r="E88" s="182"/>
      <c r="F88" s="182"/>
      <c r="G88" s="182"/>
      <c r="H88" s="182"/>
      <c r="I88" s="182"/>
      <c r="J88" s="193"/>
      <c r="K88" s="307"/>
      <c r="L88" s="307"/>
      <c r="M88" s="307"/>
      <c r="N88" s="306"/>
      <c r="O88" s="294"/>
      <c r="P88" s="184"/>
      <c r="Q88" s="197"/>
      <c r="R88" s="268"/>
    </row>
    <row r="89" spans="1:30" ht="15" customHeight="1">
      <c r="A89" s="263"/>
      <c r="B89" s="182"/>
      <c r="C89" s="182"/>
      <c r="D89" s="182"/>
      <c r="E89" s="182"/>
      <c r="F89" s="182"/>
      <c r="G89" s="182"/>
      <c r="H89" s="182"/>
      <c r="I89" s="182"/>
      <c r="J89" s="193"/>
      <c r="K89" s="307"/>
      <c r="L89" s="307"/>
      <c r="M89" s="307"/>
      <c r="N89" s="306"/>
      <c r="O89" s="281" t="s">
        <v>24</v>
      </c>
      <c r="P89" s="251" t="s">
        <v>0</v>
      </c>
      <c r="Q89" s="252" t="s">
        <v>11</v>
      </c>
      <c r="R89" s="272">
        <f>SUM(R44:R88)</f>
        <v>442421</v>
      </c>
    </row>
    <row r="90" spans="1:30" ht="15" customHeight="1">
      <c r="A90" s="263"/>
      <c r="B90" s="182"/>
      <c r="C90" s="182"/>
      <c r="D90" s="182"/>
      <c r="E90" s="182"/>
      <c r="F90" s="182"/>
      <c r="G90" s="182"/>
      <c r="H90" s="182"/>
      <c r="I90" s="182"/>
      <c r="J90" s="193"/>
      <c r="K90" s="307"/>
      <c r="L90" s="307"/>
      <c r="M90" s="307"/>
      <c r="N90" s="306"/>
      <c r="O90" s="281" t="s">
        <v>25</v>
      </c>
      <c r="P90" s="251" t="s">
        <v>0</v>
      </c>
      <c r="Q90" s="252" t="s">
        <v>11</v>
      </c>
      <c r="R90" s="272">
        <f>R89*1</f>
        <v>442421</v>
      </c>
    </row>
    <row r="91" spans="1:30" ht="50.25" customHeight="1">
      <c r="A91" s="303" t="s">
        <v>433</v>
      </c>
      <c r="B91" s="999" t="s">
        <v>354</v>
      </c>
      <c r="C91" s="999"/>
      <c r="D91" s="999"/>
      <c r="E91" s="999"/>
      <c r="F91" s="999"/>
      <c r="G91" s="999"/>
      <c r="H91" s="999"/>
      <c r="I91" s="999"/>
      <c r="J91" s="999"/>
      <c r="K91" s="999"/>
      <c r="L91" s="999"/>
      <c r="M91" s="999"/>
      <c r="N91" s="999"/>
      <c r="O91" s="999"/>
      <c r="P91" s="184"/>
      <c r="Q91" s="197"/>
      <c r="R91" s="268"/>
    </row>
    <row r="92" spans="1:30" ht="19.5" customHeight="1">
      <c r="A92" s="294"/>
      <c r="B92" s="1009" t="s">
        <v>378</v>
      </c>
      <c r="C92" s="1009"/>
      <c r="D92" s="1009"/>
      <c r="E92" s="1009"/>
      <c r="F92" s="1009"/>
      <c r="G92" s="1009"/>
      <c r="H92" s="1009"/>
      <c r="I92" s="1009"/>
      <c r="J92" s="1009"/>
      <c r="K92" s="190"/>
      <c r="L92" s="187"/>
      <c r="M92" s="190"/>
      <c r="N92" s="213"/>
      <c r="O92" s="294"/>
      <c r="P92" s="200"/>
      <c r="Q92" s="200"/>
      <c r="R92" s="265"/>
    </row>
    <row r="93" spans="1:30" ht="21" customHeight="1">
      <c r="A93" s="263"/>
      <c r="B93" s="1073" t="s">
        <v>411</v>
      </c>
      <c r="C93" s="1073"/>
      <c r="D93" s="1073"/>
      <c r="E93" s="1073"/>
      <c r="F93" s="203">
        <f>H12</f>
        <v>6</v>
      </c>
      <c r="G93" s="313" t="s">
        <v>1</v>
      </c>
      <c r="H93" s="203">
        <v>4</v>
      </c>
      <c r="I93" s="313" t="s">
        <v>1</v>
      </c>
      <c r="J93" s="186">
        <v>0.35</v>
      </c>
      <c r="K93" s="313" t="s">
        <v>1</v>
      </c>
      <c r="L93" s="186">
        <v>3</v>
      </c>
      <c r="M93" s="190" t="s">
        <v>0</v>
      </c>
      <c r="N93" s="199">
        <f t="shared" ref="N93:N96" si="7">L93*J93*H93*F93</f>
        <v>25.199999999999996</v>
      </c>
      <c r="O93" s="244" t="s">
        <v>420</v>
      </c>
      <c r="P93" s="182"/>
      <c r="Q93" s="182"/>
      <c r="R93" s="294"/>
    </row>
    <row r="94" spans="1:30" ht="33.75" customHeight="1">
      <c r="A94" s="263"/>
      <c r="B94" s="1073" t="s">
        <v>412</v>
      </c>
      <c r="C94" s="1073"/>
      <c r="D94" s="1073"/>
      <c r="E94" s="1073"/>
      <c r="F94" s="313">
        <v>1</v>
      </c>
      <c r="G94" s="313" t="s">
        <v>1</v>
      </c>
      <c r="H94" s="203">
        <v>3</v>
      </c>
      <c r="I94" s="313" t="s">
        <v>1</v>
      </c>
      <c r="J94" s="186">
        <v>0.35</v>
      </c>
      <c r="K94" s="313" t="s">
        <v>1</v>
      </c>
      <c r="L94" s="186">
        <v>9</v>
      </c>
      <c r="M94" s="304" t="s">
        <v>0</v>
      </c>
      <c r="N94" s="199">
        <f t="shared" si="7"/>
        <v>9.4499999999999993</v>
      </c>
      <c r="O94" s="234" t="s">
        <v>420</v>
      </c>
      <c r="P94" s="182"/>
      <c r="Q94" s="182"/>
      <c r="R94" s="294"/>
    </row>
    <row r="95" spans="1:30" ht="18.75" customHeight="1">
      <c r="A95" s="263"/>
      <c r="B95" s="317"/>
      <c r="C95" s="317"/>
      <c r="D95" s="317"/>
      <c r="E95" s="317"/>
      <c r="F95" s="313">
        <v>1</v>
      </c>
      <c r="G95" s="313" t="s">
        <v>1</v>
      </c>
      <c r="H95" s="203">
        <v>3</v>
      </c>
      <c r="I95" s="313" t="s">
        <v>1</v>
      </c>
      <c r="J95" s="186">
        <v>0.5</v>
      </c>
      <c r="K95" s="313" t="s">
        <v>1</v>
      </c>
      <c r="L95" s="186">
        <v>24</v>
      </c>
      <c r="M95" s="304" t="s">
        <v>0</v>
      </c>
      <c r="N95" s="199">
        <f t="shared" si="7"/>
        <v>36</v>
      </c>
      <c r="O95" s="234" t="s">
        <v>420</v>
      </c>
      <c r="P95" s="182"/>
      <c r="Q95" s="182"/>
      <c r="R95" s="294"/>
    </row>
    <row r="96" spans="1:30" ht="16.5" customHeight="1">
      <c r="A96" s="294"/>
      <c r="B96" s="1011" t="s">
        <v>375</v>
      </c>
      <c r="C96" s="1011"/>
      <c r="D96" s="1011"/>
      <c r="E96" s="1011"/>
      <c r="F96" s="203">
        <v>1</v>
      </c>
      <c r="G96" s="313" t="s">
        <v>1</v>
      </c>
      <c r="H96" s="203">
        <v>2</v>
      </c>
      <c r="I96" s="313" t="s">
        <v>1</v>
      </c>
      <c r="J96" s="186">
        <v>0.2</v>
      </c>
      <c r="K96" s="313" t="s">
        <v>1</v>
      </c>
      <c r="L96" s="186">
        <f>L22</f>
        <v>24</v>
      </c>
      <c r="M96" s="304" t="s">
        <v>0</v>
      </c>
      <c r="N96" s="199">
        <f t="shared" si="7"/>
        <v>9.6000000000000014</v>
      </c>
      <c r="O96" s="244" t="s">
        <v>420</v>
      </c>
      <c r="P96" s="200"/>
      <c r="Q96" s="200"/>
      <c r="R96" s="265"/>
    </row>
    <row r="97" spans="1:30" ht="17.25">
      <c r="A97" s="294"/>
      <c r="B97" s="1011" t="s">
        <v>349</v>
      </c>
      <c r="C97" s="1011"/>
      <c r="D97" s="1011"/>
      <c r="E97" s="1011"/>
      <c r="F97" s="203"/>
      <c r="G97" s="313"/>
      <c r="H97" s="203">
        <v>1</v>
      </c>
      <c r="I97" s="313" t="s">
        <v>1</v>
      </c>
      <c r="J97" s="186">
        <f>L57</f>
        <v>8</v>
      </c>
      <c r="K97" s="313" t="s">
        <v>1</v>
      </c>
      <c r="L97" s="186">
        <f>L58</f>
        <v>11</v>
      </c>
      <c r="M97" s="232" t="s">
        <v>0</v>
      </c>
      <c r="N97" s="189">
        <f>L97*J97*H97</f>
        <v>88</v>
      </c>
      <c r="O97" s="283" t="s">
        <v>420</v>
      </c>
      <c r="P97" s="200"/>
      <c r="Q97" s="200"/>
      <c r="R97" s="265"/>
      <c r="W97" s="168"/>
      <c r="X97" s="168"/>
      <c r="Y97" s="168"/>
      <c r="Z97" s="168"/>
      <c r="AA97" s="168"/>
      <c r="AB97" s="168"/>
      <c r="AC97" s="168"/>
      <c r="AD97" s="168"/>
    </row>
    <row r="98" spans="1:30" ht="17.25">
      <c r="A98" s="244"/>
      <c r="B98" s="185"/>
      <c r="C98" s="185"/>
      <c r="D98" s="185"/>
      <c r="E98" s="185"/>
      <c r="F98" s="185"/>
      <c r="G98" s="185"/>
      <c r="H98" s="185"/>
      <c r="I98" s="185"/>
      <c r="J98" s="185"/>
      <c r="K98" s="996" t="s">
        <v>8</v>
      </c>
      <c r="L98" s="996"/>
      <c r="M98" s="190" t="s">
        <v>0</v>
      </c>
      <c r="N98" s="204">
        <f>SUM(N92:N97)</f>
        <v>168.25</v>
      </c>
      <c r="O98" s="244" t="s">
        <v>420</v>
      </c>
      <c r="P98" s="185"/>
      <c r="Q98" s="185"/>
      <c r="R98" s="244"/>
    </row>
    <row r="99" spans="1:30" ht="17.25">
      <c r="A99" s="263"/>
      <c r="B99" s="182"/>
      <c r="C99" s="182"/>
      <c r="D99" s="182"/>
      <c r="E99" s="182"/>
      <c r="F99" s="182"/>
      <c r="G99" s="182"/>
      <c r="H99" s="182"/>
      <c r="I99" s="182"/>
      <c r="J99" s="193" t="s">
        <v>350</v>
      </c>
      <c r="K99" s="307" t="s">
        <v>11</v>
      </c>
      <c r="L99" s="989">
        <v>389</v>
      </c>
      <c r="M99" s="989"/>
      <c r="N99" s="306" t="s">
        <v>421</v>
      </c>
      <c r="O99" s="294"/>
      <c r="P99" s="190" t="s">
        <v>0</v>
      </c>
      <c r="Q99" s="205" t="s">
        <v>11</v>
      </c>
      <c r="R99" s="269">
        <f>ROUND(N98*L99,0)</f>
        <v>65449</v>
      </c>
    </row>
    <row r="100" spans="1:30">
      <c r="A100" s="263"/>
      <c r="B100" s="182"/>
      <c r="C100" s="182"/>
      <c r="D100" s="182"/>
      <c r="E100" s="182"/>
      <c r="F100" s="182"/>
      <c r="G100" s="182"/>
      <c r="H100" s="182"/>
      <c r="I100" s="182"/>
      <c r="J100" s="193"/>
      <c r="K100" s="307"/>
      <c r="L100" s="307"/>
      <c r="M100" s="307"/>
      <c r="N100" s="306"/>
      <c r="O100" s="294"/>
      <c r="P100" s="190"/>
      <c r="Q100" s="205"/>
      <c r="R100" s="269"/>
    </row>
    <row r="101" spans="1:30" ht="13.5" customHeight="1">
      <c r="A101" s="263"/>
      <c r="B101" s="182"/>
      <c r="C101" s="182"/>
      <c r="D101" s="182"/>
      <c r="E101" s="182"/>
      <c r="F101" s="182"/>
      <c r="G101" s="182"/>
      <c r="H101" s="182"/>
      <c r="I101" s="182"/>
      <c r="J101" s="193"/>
      <c r="K101" s="307"/>
      <c r="L101" s="307"/>
      <c r="M101" s="307"/>
      <c r="N101" s="306"/>
      <c r="O101" s="294"/>
      <c r="P101" s="184"/>
      <c r="Q101" s="197"/>
      <c r="R101" s="268"/>
    </row>
    <row r="102" spans="1:30" ht="46.5" customHeight="1">
      <c r="A102" s="303" t="s">
        <v>434</v>
      </c>
      <c r="B102" s="999" t="s">
        <v>362</v>
      </c>
      <c r="C102" s="999"/>
      <c r="D102" s="999"/>
      <c r="E102" s="999"/>
      <c r="F102" s="999"/>
      <c r="G102" s="999"/>
      <c r="H102" s="999"/>
      <c r="I102" s="999"/>
      <c r="J102" s="999"/>
      <c r="K102" s="999"/>
      <c r="L102" s="999"/>
      <c r="M102" s="999"/>
      <c r="N102" s="999"/>
      <c r="O102" s="999"/>
      <c r="P102" s="200"/>
      <c r="Q102" s="200"/>
      <c r="R102" s="265"/>
    </row>
    <row r="103" spans="1:30" ht="19.5" customHeight="1">
      <c r="A103" s="294"/>
      <c r="B103" s="1074" t="s">
        <v>446</v>
      </c>
      <c r="C103" s="1074"/>
      <c r="D103" s="1074"/>
      <c r="E103" s="1074"/>
      <c r="F103" s="1074"/>
      <c r="G103" s="1074"/>
      <c r="H103" s="1074"/>
      <c r="I103" s="1074"/>
      <c r="J103" s="1074"/>
      <c r="K103" s="190"/>
      <c r="L103" s="187"/>
      <c r="M103" s="190"/>
      <c r="N103" s="213"/>
      <c r="O103" s="294"/>
      <c r="P103" s="200"/>
      <c r="Q103" s="200"/>
      <c r="R103" s="265"/>
    </row>
    <row r="104" spans="1:30" ht="18" customHeight="1">
      <c r="A104" s="244"/>
      <c r="B104" s="1010" t="s">
        <v>411</v>
      </c>
      <c r="C104" s="1010"/>
      <c r="D104" s="1010"/>
      <c r="E104" s="1010"/>
      <c r="F104" s="203">
        <f>H12</f>
        <v>6</v>
      </c>
      <c r="G104" s="313" t="s">
        <v>1</v>
      </c>
      <c r="H104" s="186">
        <v>0.35</v>
      </c>
      <c r="I104" s="313" t="s">
        <v>1</v>
      </c>
      <c r="J104" s="186">
        <v>0.35</v>
      </c>
      <c r="K104" s="313" t="s">
        <v>1</v>
      </c>
      <c r="L104" s="186">
        <v>3</v>
      </c>
      <c r="M104" s="190" t="s">
        <v>0</v>
      </c>
      <c r="N104" s="199">
        <f t="shared" ref="N104" si="8">ROUND(F104*H104*J104*L104,2)</f>
        <v>2.21</v>
      </c>
      <c r="O104" s="294" t="s">
        <v>418</v>
      </c>
      <c r="P104" s="185"/>
      <c r="Q104" s="185"/>
      <c r="R104" s="244"/>
    </row>
    <row r="105" spans="1:30" ht="17.25" customHeight="1">
      <c r="A105" s="244"/>
      <c r="B105" s="1074" t="s">
        <v>428</v>
      </c>
      <c r="C105" s="1074"/>
      <c r="D105" s="1074"/>
      <c r="E105" s="1074"/>
      <c r="F105" s="1074"/>
      <c r="G105" s="1074"/>
      <c r="H105" s="1074"/>
      <c r="I105" s="1074"/>
      <c r="J105" s="1074"/>
      <c r="K105" s="313"/>
      <c r="L105" s="186"/>
      <c r="M105" s="190"/>
      <c r="N105" s="199"/>
      <c r="O105" s="294"/>
      <c r="P105" s="185"/>
      <c r="Q105" s="185"/>
      <c r="R105" s="244"/>
    </row>
    <row r="106" spans="1:30" ht="15" customHeight="1">
      <c r="A106" s="244"/>
      <c r="B106" s="1009"/>
      <c r="C106" s="1009"/>
      <c r="D106" s="185"/>
      <c r="E106" s="185"/>
      <c r="F106" s="203">
        <v>1</v>
      </c>
      <c r="G106" s="313" t="s">
        <v>1</v>
      </c>
      <c r="H106" s="186">
        <f>24</f>
        <v>24</v>
      </c>
      <c r="I106" s="313" t="s">
        <v>1</v>
      </c>
      <c r="J106" s="186">
        <v>0.25</v>
      </c>
      <c r="K106" s="313" t="s">
        <v>1</v>
      </c>
      <c r="L106" s="186">
        <v>0.35</v>
      </c>
      <c r="M106" s="190" t="s">
        <v>0</v>
      </c>
      <c r="N106" s="199">
        <f t="shared" ref="N106" si="9">ROUND(F106*H106*J106*L106,2)</f>
        <v>2.1</v>
      </c>
      <c r="O106" s="294" t="s">
        <v>418</v>
      </c>
      <c r="P106" s="185"/>
      <c r="Q106" s="185"/>
      <c r="R106" s="244"/>
      <c r="V106" s="157" t="s">
        <v>374</v>
      </c>
    </row>
    <row r="107" spans="1:30" ht="15" customHeight="1">
      <c r="A107" s="244"/>
      <c r="B107" s="313"/>
      <c r="C107" s="313"/>
      <c r="D107" s="185"/>
      <c r="E107" s="185"/>
      <c r="F107" s="203">
        <v>1</v>
      </c>
      <c r="G107" s="313" t="s">
        <v>1</v>
      </c>
      <c r="H107" s="186">
        <v>9</v>
      </c>
      <c r="I107" s="313" t="s">
        <v>1</v>
      </c>
      <c r="J107" s="186">
        <v>0.3</v>
      </c>
      <c r="K107" s="313" t="s">
        <v>1</v>
      </c>
      <c r="L107" s="186">
        <v>0.5</v>
      </c>
      <c r="M107" s="190" t="s">
        <v>0</v>
      </c>
      <c r="N107" s="199">
        <f>ROUND(F107*H107*J107*L107,2)</f>
        <v>1.35</v>
      </c>
      <c r="O107" s="294" t="s">
        <v>418</v>
      </c>
      <c r="P107" s="185"/>
      <c r="Q107" s="185"/>
      <c r="R107" s="244"/>
    </row>
    <row r="108" spans="1:30" ht="15" customHeight="1">
      <c r="A108" s="244"/>
      <c r="B108" s="1009" t="s">
        <v>448</v>
      </c>
      <c r="C108" s="1009"/>
      <c r="D108" s="1009"/>
      <c r="E108" s="185"/>
      <c r="F108" s="203">
        <v>1</v>
      </c>
      <c r="G108" s="313" t="s">
        <v>1</v>
      </c>
      <c r="H108" s="186">
        <v>16.5</v>
      </c>
      <c r="I108" s="313" t="s">
        <v>1</v>
      </c>
      <c r="J108" s="186">
        <v>0.6</v>
      </c>
      <c r="K108" s="313" t="s">
        <v>1</v>
      </c>
      <c r="L108" s="186">
        <v>0.1</v>
      </c>
      <c r="M108" s="190" t="s">
        <v>0</v>
      </c>
      <c r="N108" s="199">
        <f>ROUND(F108*H108*J108*L108,2)</f>
        <v>0.99</v>
      </c>
      <c r="O108" s="294" t="s">
        <v>418</v>
      </c>
      <c r="P108" s="185"/>
      <c r="Q108" s="185"/>
      <c r="R108" s="244"/>
    </row>
    <row r="109" spans="1:30" ht="16.5" customHeight="1">
      <c r="A109" s="294"/>
      <c r="B109" s="1011" t="s">
        <v>375</v>
      </c>
      <c r="C109" s="1011"/>
      <c r="D109" s="1011"/>
      <c r="E109" s="1011"/>
      <c r="F109" s="203"/>
      <c r="G109" s="313"/>
      <c r="H109" s="203">
        <v>1</v>
      </c>
      <c r="I109" s="313" t="s">
        <v>1</v>
      </c>
      <c r="J109" s="186">
        <v>0.2</v>
      </c>
      <c r="K109" s="313" t="s">
        <v>1</v>
      </c>
      <c r="L109" s="186">
        <v>24</v>
      </c>
      <c r="M109" s="304" t="s">
        <v>0</v>
      </c>
      <c r="N109" s="199">
        <f>L109*J109*H109</f>
        <v>4.8000000000000007</v>
      </c>
      <c r="O109" s="294" t="s">
        <v>418</v>
      </c>
      <c r="P109" s="200"/>
      <c r="Q109" s="200"/>
      <c r="R109" s="265"/>
    </row>
    <row r="110" spans="1:30" ht="17.25">
      <c r="A110" s="294"/>
      <c r="B110" s="1077" t="s">
        <v>349</v>
      </c>
      <c r="C110" s="1077"/>
      <c r="D110" s="1077"/>
      <c r="E110" s="1077"/>
      <c r="F110" s="203"/>
      <c r="G110" s="313"/>
      <c r="H110" s="186">
        <f>J97</f>
        <v>8</v>
      </c>
      <c r="I110" s="313" t="s">
        <v>1</v>
      </c>
      <c r="J110" s="186">
        <f>L97</f>
        <v>11</v>
      </c>
      <c r="K110" s="313" t="s">
        <v>1</v>
      </c>
      <c r="L110" s="186">
        <v>0.1</v>
      </c>
      <c r="M110" s="232" t="s">
        <v>0</v>
      </c>
      <c r="N110" s="189">
        <f>L110*J110*H110</f>
        <v>8.8000000000000007</v>
      </c>
      <c r="O110" s="294" t="s">
        <v>418</v>
      </c>
      <c r="P110" s="200"/>
      <c r="Q110" s="200"/>
      <c r="R110" s="265"/>
      <c r="W110" s="168"/>
      <c r="X110" s="168"/>
      <c r="Y110" s="168"/>
      <c r="Z110" s="168"/>
      <c r="AA110" s="168"/>
      <c r="AB110" s="168"/>
      <c r="AC110" s="168"/>
      <c r="AD110" s="168"/>
    </row>
    <row r="111" spans="1:30" ht="15" customHeight="1">
      <c r="A111" s="244"/>
      <c r="B111" s="185"/>
      <c r="C111" s="185"/>
      <c r="D111" s="185"/>
      <c r="E111" s="185"/>
      <c r="F111" s="185"/>
      <c r="G111" s="185"/>
      <c r="H111" s="185"/>
      <c r="I111" s="185"/>
      <c r="J111" s="185"/>
      <c r="K111" s="996" t="s">
        <v>8</v>
      </c>
      <c r="L111" s="996"/>
      <c r="M111" s="190" t="s">
        <v>0</v>
      </c>
      <c r="N111" s="235">
        <f>SUM(N104:N110)</f>
        <v>20.25</v>
      </c>
      <c r="O111" s="294" t="s">
        <v>418</v>
      </c>
      <c r="P111" s="185"/>
      <c r="Q111" s="185"/>
      <c r="R111" s="244"/>
    </row>
    <row r="112" spans="1:30" ht="15" customHeight="1">
      <c r="A112" s="263"/>
      <c r="B112" s="182"/>
      <c r="C112" s="182"/>
      <c r="D112" s="182"/>
      <c r="E112" s="182"/>
      <c r="F112" s="182"/>
      <c r="G112" s="182"/>
      <c r="H112" s="182"/>
      <c r="I112" s="182"/>
      <c r="J112" s="193" t="s">
        <v>350</v>
      </c>
      <c r="K112" s="307" t="s">
        <v>11</v>
      </c>
      <c r="L112" s="989">
        <v>7310</v>
      </c>
      <c r="M112" s="989"/>
      <c r="N112" s="306" t="s">
        <v>419</v>
      </c>
      <c r="O112" s="294"/>
      <c r="P112" s="184" t="s">
        <v>0</v>
      </c>
      <c r="Q112" s="197" t="s">
        <v>11</v>
      </c>
      <c r="R112" s="268">
        <f>ROUND(N111*L112,0)</f>
        <v>148028</v>
      </c>
    </row>
    <row r="113" spans="1:20" ht="15" customHeight="1">
      <c r="A113" s="263"/>
      <c r="B113" s="182"/>
      <c r="C113" s="182"/>
      <c r="D113" s="182"/>
      <c r="E113" s="182"/>
      <c r="F113" s="182"/>
      <c r="G113" s="182"/>
      <c r="H113" s="182"/>
      <c r="I113" s="182"/>
      <c r="J113" s="193"/>
      <c r="K113" s="307"/>
      <c r="L113" s="307"/>
      <c r="M113" s="307"/>
      <c r="N113" s="306"/>
      <c r="O113" s="294"/>
      <c r="P113" s="184"/>
      <c r="Q113" s="197"/>
      <c r="R113" s="268"/>
    </row>
    <row r="114" spans="1:20" ht="78.75" customHeight="1">
      <c r="A114" s="303" t="s">
        <v>435</v>
      </c>
      <c r="B114" s="999" t="s">
        <v>355</v>
      </c>
      <c r="C114" s="999"/>
      <c r="D114" s="999"/>
      <c r="E114" s="999"/>
      <c r="F114" s="999"/>
      <c r="G114" s="999"/>
      <c r="H114" s="999"/>
      <c r="I114" s="999"/>
      <c r="J114" s="999"/>
      <c r="K114" s="999"/>
      <c r="L114" s="999"/>
      <c r="M114" s="999"/>
      <c r="N114" s="999"/>
      <c r="O114" s="999"/>
      <c r="P114" s="184"/>
      <c r="Q114" s="197"/>
      <c r="R114" s="268"/>
      <c r="T114" s="168"/>
    </row>
    <row r="115" spans="1:20" ht="15" customHeight="1">
      <c r="A115" s="259"/>
      <c r="B115" s="210" t="s">
        <v>358</v>
      </c>
      <c r="C115" s="185"/>
      <c r="D115" s="185"/>
      <c r="E115" s="185"/>
      <c r="F115" s="185"/>
      <c r="G115" s="185"/>
      <c r="H115" s="203"/>
      <c r="I115" s="313"/>
      <c r="J115" s="186"/>
      <c r="K115" s="313"/>
      <c r="L115" s="186"/>
      <c r="M115" s="190"/>
      <c r="N115" s="213"/>
      <c r="O115" s="244"/>
      <c r="P115" s="184"/>
      <c r="Q115" s="197"/>
      <c r="R115" s="268"/>
      <c r="T115" s="168"/>
    </row>
    <row r="116" spans="1:20" ht="15" customHeight="1">
      <c r="A116" s="259"/>
      <c r="B116" s="210" t="s">
        <v>381</v>
      </c>
      <c r="C116" s="185"/>
      <c r="D116" s="185"/>
      <c r="E116" s="185"/>
      <c r="F116" s="185"/>
      <c r="G116" s="185"/>
      <c r="H116" s="203">
        <v>1</v>
      </c>
      <c r="I116" s="313" t="s">
        <v>1</v>
      </c>
      <c r="J116" s="186">
        <f>(H110+J110)*2</f>
        <v>38</v>
      </c>
      <c r="K116" s="313" t="s">
        <v>1</v>
      </c>
      <c r="L116" s="186">
        <v>3</v>
      </c>
      <c r="M116" s="304" t="s">
        <v>0</v>
      </c>
      <c r="N116" s="213">
        <f t="shared" ref="N116:N119" si="10">L116*J116*H116</f>
        <v>114</v>
      </c>
      <c r="O116" s="244" t="s">
        <v>420</v>
      </c>
      <c r="P116" s="184"/>
      <c r="Q116" s="197"/>
      <c r="R116" s="268"/>
      <c r="T116" s="168"/>
    </row>
    <row r="117" spans="1:20" ht="15" customHeight="1">
      <c r="A117" s="259"/>
      <c r="B117" s="1028" t="s">
        <v>447</v>
      </c>
      <c r="C117" s="1028"/>
      <c r="D117" s="1028"/>
      <c r="E117" s="1028"/>
      <c r="F117" s="185"/>
      <c r="G117" s="185"/>
      <c r="H117" s="203">
        <v>25</v>
      </c>
      <c r="I117" s="313" t="s">
        <v>1</v>
      </c>
      <c r="J117" s="186">
        <v>0.6</v>
      </c>
      <c r="K117" s="313" t="s">
        <v>1</v>
      </c>
      <c r="L117" s="186">
        <v>0.9</v>
      </c>
      <c r="M117" s="304" t="s">
        <v>0</v>
      </c>
      <c r="N117" s="213">
        <f t="shared" ref="N117" si="11">L117*J117*H117</f>
        <v>13.5</v>
      </c>
      <c r="O117" s="244" t="s">
        <v>420</v>
      </c>
      <c r="P117" s="184"/>
      <c r="Q117" s="197"/>
      <c r="R117" s="268"/>
      <c r="T117" s="168"/>
    </row>
    <row r="118" spans="1:20" ht="15" customHeight="1">
      <c r="A118" s="259"/>
      <c r="B118" s="185" t="s">
        <v>376</v>
      </c>
      <c r="C118" s="185"/>
      <c r="D118" s="185"/>
      <c r="E118" s="185"/>
      <c r="F118" s="185"/>
      <c r="G118" s="185"/>
      <c r="H118" s="203">
        <v>1</v>
      </c>
      <c r="I118" s="313" t="s">
        <v>1</v>
      </c>
      <c r="J118" s="186">
        <v>2.1</v>
      </c>
      <c r="K118" s="313" t="s">
        <v>1</v>
      </c>
      <c r="L118" s="186">
        <v>1</v>
      </c>
      <c r="M118" s="190" t="s">
        <v>0</v>
      </c>
      <c r="N118" s="213">
        <f t="shared" si="10"/>
        <v>2.1</v>
      </c>
      <c r="O118" s="244" t="s">
        <v>420</v>
      </c>
      <c r="P118" s="184"/>
      <c r="Q118" s="197"/>
      <c r="R118" s="268"/>
      <c r="T118" s="168"/>
    </row>
    <row r="119" spans="1:20" ht="15" customHeight="1">
      <c r="A119" s="259"/>
      <c r="B119" s="185" t="s">
        <v>377</v>
      </c>
      <c r="C119" s="185"/>
      <c r="D119" s="185"/>
      <c r="E119" s="185"/>
      <c r="F119" s="234"/>
      <c r="G119" s="234"/>
      <c r="H119" s="203">
        <v>4</v>
      </c>
      <c r="I119" s="313" t="s">
        <v>1</v>
      </c>
      <c r="J119" s="186">
        <v>1.2</v>
      </c>
      <c r="K119" s="313" t="s">
        <v>1</v>
      </c>
      <c r="L119" s="186">
        <v>1.5</v>
      </c>
      <c r="M119" s="190" t="s">
        <v>0</v>
      </c>
      <c r="N119" s="213">
        <f t="shared" si="10"/>
        <v>7.1999999999999993</v>
      </c>
      <c r="O119" s="265" t="s">
        <v>420</v>
      </c>
      <c r="P119" s="184"/>
      <c r="Q119" s="197"/>
      <c r="R119" s="268"/>
      <c r="T119" s="168"/>
    </row>
    <row r="120" spans="1:20" ht="15" customHeight="1">
      <c r="A120" s="259"/>
      <c r="B120" s="185" t="s">
        <v>379</v>
      </c>
      <c r="C120" s="185"/>
      <c r="D120" s="185"/>
      <c r="E120" s="185"/>
      <c r="F120" s="185"/>
      <c r="G120" s="185"/>
      <c r="H120" s="203">
        <v>4</v>
      </c>
      <c r="I120" s="313" t="s">
        <v>1</v>
      </c>
      <c r="J120" s="186">
        <v>0.3</v>
      </c>
      <c r="K120" s="313" t="s">
        <v>1</v>
      </c>
      <c r="L120" s="186">
        <v>1.2</v>
      </c>
      <c r="M120" s="232" t="s">
        <v>0</v>
      </c>
      <c r="N120" s="189">
        <f>L120*J120*H120</f>
        <v>1.44</v>
      </c>
      <c r="O120" s="283" t="s">
        <v>420</v>
      </c>
      <c r="P120" s="184"/>
      <c r="Q120" s="197"/>
      <c r="R120" s="268"/>
      <c r="T120" s="168"/>
    </row>
    <row r="121" spans="1:20" ht="15" customHeight="1">
      <c r="A121" s="259"/>
      <c r="B121" s="185"/>
      <c r="C121" s="185"/>
      <c r="D121" s="185"/>
      <c r="E121" s="185"/>
      <c r="F121" s="185"/>
      <c r="G121" s="185"/>
      <c r="H121" s="185"/>
      <c r="I121" s="185"/>
      <c r="J121" s="185"/>
      <c r="K121" s="996" t="s">
        <v>8</v>
      </c>
      <c r="L121" s="996"/>
      <c r="M121" s="190" t="s">
        <v>0</v>
      </c>
      <c r="N121" s="204">
        <f>SUM(N116:N120)</f>
        <v>138.23999999999998</v>
      </c>
      <c r="O121" s="244" t="s">
        <v>423</v>
      </c>
      <c r="P121" s="184"/>
      <c r="Q121" s="197"/>
      <c r="R121" s="268"/>
      <c r="T121" s="168"/>
    </row>
    <row r="122" spans="1:20" ht="17.25">
      <c r="A122" s="263"/>
      <c r="B122" s="211"/>
      <c r="C122" s="211"/>
      <c r="D122" s="211"/>
      <c r="E122" s="211"/>
      <c r="F122" s="211"/>
      <c r="G122" s="211"/>
      <c r="H122" s="211"/>
      <c r="I122" s="190"/>
      <c r="J122" s="236"/>
      <c r="K122" s="313"/>
      <c r="L122" s="233" t="s">
        <v>8</v>
      </c>
      <c r="M122" s="304" t="s">
        <v>0</v>
      </c>
      <c r="N122" s="199">
        <f>N121</f>
        <v>138.23999999999998</v>
      </c>
      <c r="O122" s="265" t="s">
        <v>420</v>
      </c>
      <c r="P122" s="200"/>
      <c r="Q122" s="185"/>
      <c r="R122" s="244"/>
    </row>
    <row r="123" spans="1:20" ht="17.25">
      <c r="A123" s="244"/>
      <c r="B123" s="185"/>
      <c r="C123" s="185"/>
      <c r="D123" s="185"/>
      <c r="E123" s="182"/>
      <c r="F123" s="182"/>
      <c r="G123" s="182"/>
      <c r="H123" s="182"/>
      <c r="I123" s="182"/>
      <c r="J123" s="193" t="s">
        <v>350</v>
      </c>
      <c r="K123" s="307" t="s">
        <v>11</v>
      </c>
      <c r="L123" s="989">
        <v>817</v>
      </c>
      <c r="M123" s="989"/>
      <c r="N123" s="306" t="s">
        <v>421</v>
      </c>
      <c r="O123" s="294"/>
      <c r="P123" s="190" t="s">
        <v>0</v>
      </c>
      <c r="Q123" s="205" t="s">
        <v>11</v>
      </c>
      <c r="R123" s="269">
        <f>L123*N122</f>
        <v>112942.07999999999</v>
      </c>
    </row>
    <row r="124" spans="1:20">
      <c r="A124" s="244"/>
      <c r="B124" s="185"/>
      <c r="C124" s="185"/>
      <c r="D124" s="185"/>
      <c r="E124" s="182"/>
      <c r="F124" s="182"/>
      <c r="G124" s="182"/>
      <c r="H124" s="182"/>
      <c r="I124" s="182"/>
      <c r="J124" s="193"/>
      <c r="K124" s="307"/>
      <c r="L124" s="307"/>
      <c r="M124" s="307"/>
      <c r="N124" s="306"/>
      <c r="O124" s="294"/>
      <c r="P124" s="190"/>
      <c r="Q124" s="205"/>
      <c r="R124" s="269"/>
    </row>
    <row r="125" spans="1:20">
      <c r="A125" s="244"/>
      <c r="B125" s="185"/>
      <c r="C125" s="185"/>
      <c r="D125" s="185"/>
      <c r="E125" s="182"/>
      <c r="F125" s="182"/>
      <c r="G125" s="182"/>
      <c r="H125" s="182"/>
      <c r="I125" s="182"/>
      <c r="J125" s="193"/>
      <c r="K125" s="307"/>
      <c r="L125" s="307"/>
      <c r="M125" s="307"/>
      <c r="N125" s="306"/>
      <c r="O125" s="294"/>
      <c r="P125" s="190"/>
      <c r="Q125" s="205"/>
      <c r="R125" s="269"/>
    </row>
    <row r="126" spans="1:20">
      <c r="A126" s="244"/>
      <c r="B126" s="185"/>
      <c r="C126" s="185"/>
      <c r="D126" s="185"/>
      <c r="E126" s="182"/>
      <c r="F126" s="182"/>
      <c r="G126" s="182"/>
      <c r="H126" s="182"/>
      <c r="I126" s="182"/>
      <c r="J126" s="193"/>
      <c r="K126" s="307"/>
      <c r="L126" s="307"/>
      <c r="M126" s="307"/>
      <c r="N126" s="306"/>
      <c r="O126" s="294"/>
      <c r="P126" s="190"/>
      <c r="Q126" s="205"/>
      <c r="R126" s="269"/>
    </row>
    <row r="127" spans="1:20">
      <c r="A127" s="244"/>
      <c r="B127" s="185"/>
      <c r="C127" s="185"/>
      <c r="D127" s="185"/>
      <c r="E127" s="182"/>
      <c r="F127" s="182"/>
      <c r="G127" s="182"/>
      <c r="H127" s="182"/>
      <c r="I127" s="182"/>
      <c r="J127" s="193"/>
      <c r="K127" s="307"/>
      <c r="L127" s="307"/>
      <c r="M127" s="307"/>
      <c r="N127" s="306"/>
      <c r="O127" s="294"/>
      <c r="P127" s="190"/>
      <c r="Q127" s="205"/>
      <c r="R127" s="269"/>
    </row>
    <row r="128" spans="1:20">
      <c r="A128" s="244"/>
      <c r="B128" s="185"/>
      <c r="C128" s="185"/>
      <c r="D128" s="185"/>
      <c r="E128" s="182"/>
      <c r="F128" s="182"/>
      <c r="G128" s="182"/>
      <c r="H128" s="182"/>
      <c r="I128" s="182"/>
      <c r="J128" s="193"/>
      <c r="K128" s="307"/>
      <c r="L128" s="307"/>
      <c r="M128" s="307"/>
      <c r="N128" s="306"/>
      <c r="O128" s="281" t="s">
        <v>24</v>
      </c>
      <c r="P128" s="251" t="s">
        <v>0</v>
      </c>
      <c r="Q128" s="252" t="s">
        <v>11</v>
      </c>
      <c r="R128" s="273">
        <f>SUM(R90:R127)</f>
        <v>768840.08</v>
      </c>
    </row>
    <row r="129" spans="1:22">
      <c r="A129" s="244"/>
      <c r="B129" s="185"/>
      <c r="C129" s="185"/>
      <c r="D129" s="185"/>
      <c r="E129" s="182"/>
      <c r="F129" s="182"/>
      <c r="G129" s="182"/>
      <c r="H129" s="182"/>
      <c r="I129" s="182"/>
      <c r="J129" s="193"/>
      <c r="K129" s="307"/>
      <c r="L129" s="307"/>
      <c r="M129" s="307"/>
      <c r="N129" s="306"/>
      <c r="O129" s="281" t="s">
        <v>25</v>
      </c>
      <c r="P129" s="251" t="s">
        <v>0</v>
      </c>
      <c r="Q129" s="252" t="s">
        <v>11</v>
      </c>
      <c r="R129" s="273">
        <f>R128</f>
        <v>768840.08</v>
      </c>
    </row>
    <row r="130" spans="1:22" ht="36" customHeight="1">
      <c r="A130" s="303" t="s">
        <v>436</v>
      </c>
      <c r="B130" s="999" t="s">
        <v>363</v>
      </c>
      <c r="C130" s="999"/>
      <c r="D130" s="999"/>
      <c r="E130" s="999"/>
      <c r="F130" s="999"/>
      <c r="G130" s="999"/>
      <c r="H130" s="999"/>
      <c r="I130" s="999"/>
      <c r="J130" s="999"/>
      <c r="K130" s="999"/>
      <c r="L130" s="999"/>
      <c r="M130" s="999"/>
      <c r="N130" s="999"/>
      <c r="O130" s="999"/>
      <c r="P130" s="190"/>
      <c r="Q130" s="205"/>
      <c r="R130" s="269"/>
    </row>
    <row r="131" spans="1:22" ht="51.75" customHeight="1">
      <c r="A131" s="244"/>
      <c r="B131" s="1008" t="s">
        <v>443</v>
      </c>
      <c r="C131" s="1008"/>
      <c r="D131" s="1008"/>
      <c r="E131" s="1008"/>
      <c r="F131" s="1008" t="s">
        <v>424</v>
      </c>
      <c r="G131" s="1008"/>
      <c r="H131" s="1008"/>
      <c r="I131" s="190"/>
      <c r="J131" s="236">
        <v>2</v>
      </c>
      <c r="K131" s="313" t="s">
        <v>1</v>
      </c>
      <c r="L131" s="253">
        <f>N122</f>
        <v>138.23999999999998</v>
      </c>
      <c r="M131" s="190" t="s">
        <v>0</v>
      </c>
      <c r="N131" s="199">
        <f>L131*J131</f>
        <v>276.47999999999996</v>
      </c>
      <c r="O131" s="234" t="s">
        <v>420</v>
      </c>
      <c r="P131" s="200"/>
      <c r="Q131" s="185"/>
      <c r="R131" s="244"/>
    </row>
    <row r="132" spans="1:22" ht="18.75" customHeight="1">
      <c r="A132" s="244"/>
      <c r="B132" s="211" t="s">
        <v>380</v>
      </c>
      <c r="C132" s="211"/>
      <c r="D132" s="211"/>
      <c r="E132" s="211"/>
      <c r="F132" s="211"/>
      <c r="G132" s="211"/>
      <c r="H132" s="211"/>
      <c r="I132" s="190"/>
      <c r="J132" s="236">
        <v>8</v>
      </c>
      <c r="K132" s="313" t="s">
        <v>1</v>
      </c>
      <c r="L132" s="233">
        <v>1.35</v>
      </c>
      <c r="M132" s="188" t="s">
        <v>0</v>
      </c>
      <c r="N132" s="189">
        <f>L132*J132</f>
        <v>10.8</v>
      </c>
      <c r="O132" s="283" t="s">
        <v>420</v>
      </c>
      <c r="P132" s="200"/>
      <c r="Q132" s="185"/>
      <c r="R132" s="244"/>
    </row>
    <row r="133" spans="1:22" ht="18" customHeight="1">
      <c r="A133" s="244"/>
      <c r="B133" s="211"/>
      <c r="C133" s="211"/>
      <c r="D133" s="211"/>
      <c r="E133" s="211"/>
      <c r="F133" s="211"/>
      <c r="G133" s="211"/>
      <c r="H133" s="211"/>
      <c r="I133" s="190"/>
      <c r="J133" s="236"/>
      <c r="K133" s="313"/>
      <c r="L133" s="233" t="s">
        <v>8</v>
      </c>
      <c r="M133" s="304" t="s">
        <v>0</v>
      </c>
      <c r="N133" s="213">
        <f>SUM(N131:N132)</f>
        <v>287.27999999999997</v>
      </c>
      <c r="O133" s="265" t="s">
        <v>420</v>
      </c>
      <c r="P133" s="200"/>
      <c r="Q133" s="185"/>
      <c r="R133" s="244"/>
    </row>
    <row r="134" spans="1:22" ht="19.5" customHeight="1">
      <c r="A134" s="263"/>
      <c r="B134" s="185"/>
      <c r="C134" s="185"/>
      <c r="D134" s="185"/>
      <c r="E134" s="182"/>
      <c r="F134" s="182"/>
      <c r="G134" s="182"/>
      <c r="H134" s="182"/>
      <c r="I134" s="182"/>
      <c r="J134" s="193" t="s">
        <v>350</v>
      </c>
      <c r="K134" s="307" t="s">
        <v>11</v>
      </c>
      <c r="L134" s="989">
        <v>213</v>
      </c>
      <c r="M134" s="989"/>
      <c r="N134" s="306" t="s">
        <v>421</v>
      </c>
      <c r="O134" s="294"/>
      <c r="P134" s="190" t="s">
        <v>0</v>
      </c>
      <c r="Q134" s="205" t="s">
        <v>11</v>
      </c>
      <c r="R134" s="269">
        <f>L134*N133</f>
        <v>61190.639999999992</v>
      </c>
    </row>
    <row r="135" spans="1:22" ht="15" customHeight="1">
      <c r="A135" s="263"/>
      <c r="B135" s="185"/>
      <c r="C135" s="185"/>
      <c r="D135" s="185"/>
      <c r="E135" s="182"/>
      <c r="F135" s="182"/>
      <c r="G135" s="182"/>
      <c r="H135" s="182"/>
      <c r="I135" s="182"/>
      <c r="J135" s="193"/>
      <c r="K135" s="307"/>
      <c r="L135" s="307"/>
      <c r="M135" s="307"/>
      <c r="N135" s="306"/>
      <c r="O135" s="281"/>
      <c r="P135" s="251"/>
      <c r="Q135" s="252"/>
      <c r="R135" s="273"/>
    </row>
    <row r="136" spans="1:22" ht="50.25" customHeight="1">
      <c r="A136" s="303" t="s">
        <v>437</v>
      </c>
      <c r="B136" s="999" t="s">
        <v>364</v>
      </c>
      <c r="C136" s="999"/>
      <c r="D136" s="999"/>
      <c r="E136" s="999"/>
      <c r="F136" s="999"/>
      <c r="G136" s="999"/>
      <c r="H136" s="999"/>
      <c r="I136" s="999"/>
      <c r="J136" s="999"/>
      <c r="K136" s="999"/>
      <c r="L136" s="999"/>
      <c r="M136" s="999"/>
      <c r="N136" s="999"/>
      <c r="O136" s="999"/>
      <c r="P136" s="192"/>
      <c r="Q136" s="205"/>
      <c r="R136" s="269"/>
    </row>
    <row r="137" spans="1:22" ht="18" customHeight="1">
      <c r="A137" s="294"/>
      <c r="B137" s="202" t="s">
        <v>365</v>
      </c>
      <c r="C137" s="202"/>
      <c r="D137" s="192"/>
      <c r="E137" s="192"/>
      <c r="F137" s="237"/>
      <c r="G137" s="205"/>
      <c r="H137" s="192"/>
      <c r="I137" s="238"/>
      <c r="J137" s="239"/>
      <c r="K137" s="237"/>
      <c r="L137" s="191"/>
      <c r="M137" s="191"/>
      <c r="N137" s="240"/>
      <c r="O137" s="294"/>
      <c r="P137" s="190"/>
      <c r="Q137" s="205"/>
      <c r="R137" s="269"/>
      <c r="U137" s="180"/>
      <c r="V137" s="178"/>
    </row>
    <row r="138" spans="1:22" ht="15" customHeight="1">
      <c r="A138" s="260"/>
      <c r="B138" s="1076" t="s">
        <v>366</v>
      </c>
      <c r="C138" s="1076"/>
      <c r="D138" s="241"/>
      <c r="E138" s="241"/>
      <c r="F138" s="241"/>
      <c r="G138" s="241"/>
      <c r="H138" s="241"/>
      <c r="I138" s="241"/>
      <c r="J138" s="241"/>
      <c r="K138" s="241"/>
      <c r="L138" s="241"/>
      <c r="M138" s="241"/>
      <c r="N138" s="241"/>
      <c r="O138" s="284"/>
      <c r="P138" s="190"/>
      <c r="Q138" s="205"/>
      <c r="R138" s="269"/>
    </row>
    <row r="139" spans="1:22" ht="18.75" customHeight="1">
      <c r="A139" s="294"/>
      <c r="B139" s="192" t="s">
        <v>382</v>
      </c>
      <c r="C139" s="192"/>
      <c r="D139" s="231"/>
      <c r="E139" s="313"/>
      <c r="F139" s="313">
        <v>1</v>
      </c>
      <c r="G139" s="313" t="s">
        <v>1</v>
      </c>
      <c r="H139" s="186">
        <v>4.95</v>
      </c>
      <c r="I139" s="313" t="s">
        <v>1</v>
      </c>
      <c r="J139" s="186">
        <v>0.15</v>
      </c>
      <c r="K139" s="313" t="s">
        <v>1</v>
      </c>
      <c r="L139" s="186">
        <v>0.15</v>
      </c>
      <c r="M139" s="188" t="s">
        <v>0</v>
      </c>
      <c r="N139" s="189">
        <f>ROUND(F139*H139*J139*L139,2)</f>
        <v>0.11</v>
      </c>
      <c r="O139" s="278" t="s">
        <v>418</v>
      </c>
      <c r="P139" s="190"/>
      <c r="Q139" s="205"/>
      <c r="R139" s="269"/>
      <c r="V139" s="168"/>
    </row>
    <row r="140" spans="1:22" ht="15" customHeight="1">
      <c r="A140" s="294"/>
      <c r="B140" s="192"/>
      <c r="C140" s="192"/>
      <c r="D140" s="192"/>
      <c r="E140" s="192"/>
      <c r="F140" s="237"/>
      <c r="G140" s="205"/>
      <c r="H140" s="192"/>
      <c r="I140" s="238"/>
      <c r="J140" s="239"/>
      <c r="K140" s="996" t="s">
        <v>8</v>
      </c>
      <c r="L140" s="996"/>
      <c r="M140" s="190" t="s">
        <v>0</v>
      </c>
      <c r="N140" s="204">
        <f>SUM(N139:N139)</f>
        <v>0.11</v>
      </c>
      <c r="O140" s="294" t="s">
        <v>418</v>
      </c>
      <c r="P140" s="190"/>
      <c r="Q140" s="205"/>
      <c r="R140" s="269"/>
    </row>
    <row r="141" spans="1:22" ht="15.75" customHeight="1">
      <c r="A141" s="263"/>
      <c r="B141" s="182"/>
      <c r="C141" s="182"/>
      <c r="D141" s="182"/>
      <c r="E141" s="182"/>
      <c r="F141" s="182"/>
      <c r="G141" s="182"/>
      <c r="H141" s="182"/>
      <c r="I141" s="182"/>
      <c r="J141" s="193" t="s">
        <v>350</v>
      </c>
      <c r="K141" s="307" t="s">
        <v>11</v>
      </c>
      <c r="L141" s="1006">
        <v>70458</v>
      </c>
      <c r="M141" s="1006"/>
      <c r="N141" s="306" t="s">
        <v>419</v>
      </c>
      <c r="O141" s="294"/>
      <c r="P141" s="184" t="s">
        <v>0</v>
      </c>
      <c r="Q141" s="197" t="s">
        <v>11</v>
      </c>
      <c r="R141" s="268">
        <f>ROUND(N140*L141,0)</f>
        <v>7750</v>
      </c>
    </row>
    <row r="142" spans="1:22" ht="12.75" customHeight="1">
      <c r="A142" s="263"/>
      <c r="B142" s="182"/>
      <c r="C142" s="182"/>
      <c r="D142" s="182"/>
      <c r="E142" s="182"/>
      <c r="F142" s="182"/>
      <c r="G142" s="182"/>
      <c r="H142" s="182"/>
      <c r="I142" s="182"/>
      <c r="J142" s="193"/>
      <c r="K142" s="307"/>
      <c r="L142" s="316"/>
      <c r="M142" s="316"/>
      <c r="N142" s="306"/>
      <c r="O142" s="294"/>
      <c r="P142" s="184"/>
      <c r="Q142" s="197"/>
      <c r="R142" s="268"/>
    </row>
    <row r="143" spans="1:22" ht="46.5" customHeight="1">
      <c r="A143" s="303" t="s">
        <v>438</v>
      </c>
      <c r="B143" s="999" t="s">
        <v>367</v>
      </c>
      <c r="C143" s="999"/>
      <c r="D143" s="999"/>
      <c r="E143" s="999"/>
      <c r="F143" s="999"/>
      <c r="G143" s="999"/>
      <c r="H143" s="999"/>
      <c r="I143" s="999"/>
      <c r="J143" s="999"/>
      <c r="K143" s="999"/>
      <c r="L143" s="999"/>
      <c r="M143" s="999"/>
      <c r="N143" s="999"/>
      <c r="O143" s="999"/>
      <c r="P143" s="192"/>
      <c r="Q143" s="205"/>
      <c r="R143" s="269"/>
    </row>
    <row r="144" spans="1:22" ht="34.5" customHeight="1">
      <c r="A144" s="259"/>
      <c r="B144" s="993" t="s">
        <v>371</v>
      </c>
      <c r="C144" s="993"/>
      <c r="D144" s="993"/>
      <c r="E144" s="993"/>
      <c r="F144" s="993"/>
      <c r="G144" s="993"/>
      <c r="H144" s="993"/>
      <c r="I144" s="308"/>
      <c r="J144" s="308"/>
      <c r="K144" s="308"/>
      <c r="L144" s="308"/>
      <c r="M144" s="308"/>
      <c r="N144" s="308"/>
      <c r="O144" s="303"/>
      <c r="P144" s="192"/>
      <c r="Q144" s="205"/>
      <c r="R144" s="269"/>
      <c r="U144" s="181"/>
    </row>
    <row r="145" spans="1:18" ht="15" customHeight="1">
      <c r="A145" s="294"/>
      <c r="B145" s="192" t="s">
        <v>382</v>
      </c>
      <c r="C145" s="192"/>
      <c r="D145" s="192"/>
      <c r="E145" s="192"/>
      <c r="F145" s="242"/>
      <c r="G145" s="243"/>
      <c r="H145" s="203">
        <f>F139</f>
        <v>1</v>
      </c>
      <c r="I145" s="313" t="s">
        <v>1</v>
      </c>
      <c r="J145" s="186">
        <v>2.1</v>
      </c>
      <c r="K145" s="313" t="s">
        <v>1</v>
      </c>
      <c r="L145" s="186">
        <v>1.5</v>
      </c>
      <c r="M145" s="188" t="s">
        <v>0</v>
      </c>
      <c r="N145" s="189">
        <f t="shared" ref="N145" si="12">L145*J145*H145</f>
        <v>3.1500000000000004</v>
      </c>
      <c r="O145" s="265" t="s">
        <v>420</v>
      </c>
      <c r="P145" s="192"/>
      <c r="Q145" s="205"/>
      <c r="R145" s="269"/>
    </row>
    <row r="146" spans="1:18" ht="18" customHeight="1">
      <c r="A146" s="294"/>
      <c r="B146" s="192"/>
      <c r="C146" s="192"/>
      <c r="D146" s="192"/>
      <c r="E146" s="192"/>
      <c r="F146" s="242"/>
      <c r="G146" s="243"/>
      <c r="H146" s="203"/>
      <c r="I146" s="313"/>
      <c r="J146" s="186"/>
      <c r="K146" s="313"/>
      <c r="L146" s="186" t="s">
        <v>8</v>
      </c>
      <c r="M146" s="304" t="s">
        <v>0</v>
      </c>
      <c r="N146" s="213">
        <f>SUM(N145:N145)</f>
        <v>3.1500000000000004</v>
      </c>
      <c r="O146" s="265" t="s">
        <v>420</v>
      </c>
      <c r="P146" s="192"/>
      <c r="Q146" s="205"/>
      <c r="R146" s="269"/>
    </row>
    <row r="147" spans="1:18" ht="17.25">
      <c r="A147" s="263"/>
      <c r="B147" s="182"/>
      <c r="C147" s="182"/>
      <c r="D147" s="182"/>
      <c r="E147" s="182"/>
      <c r="F147" s="182"/>
      <c r="G147" s="182"/>
      <c r="H147" s="182"/>
      <c r="I147" s="182"/>
      <c r="J147" s="193" t="s">
        <v>350</v>
      </c>
      <c r="K147" s="307" t="s">
        <v>11</v>
      </c>
      <c r="L147" s="989">
        <v>5131</v>
      </c>
      <c r="M147" s="989"/>
      <c r="N147" s="306" t="s">
        <v>421</v>
      </c>
      <c r="O147" s="294"/>
      <c r="P147" s="184" t="s">
        <v>0</v>
      </c>
      <c r="Q147" s="197" t="s">
        <v>11</v>
      </c>
      <c r="R147" s="268">
        <f>L147*N146</f>
        <v>16162.650000000001</v>
      </c>
    </row>
    <row r="148" spans="1:18">
      <c r="A148" s="263"/>
      <c r="B148" s="182"/>
      <c r="C148" s="182"/>
      <c r="D148" s="182"/>
      <c r="E148" s="182"/>
      <c r="F148" s="182"/>
      <c r="G148" s="182"/>
      <c r="H148" s="182"/>
      <c r="I148" s="182"/>
      <c r="J148" s="193"/>
      <c r="K148" s="307"/>
      <c r="L148" s="307"/>
      <c r="M148" s="307"/>
      <c r="N148" s="306"/>
      <c r="O148" s="294"/>
      <c r="P148" s="184"/>
      <c r="Q148" s="197"/>
      <c r="R148" s="268"/>
    </row>
    <row r="149" spans="1:18" ht="83.25" customHeight="1">
      <c r="A149" s="303" t="s">
        <v>439</v>
      </c>
      <c r="B149" s="999" t="s">
        <v>413</v>
      </c>
      <c r="C149" s="999"/>
      <c r="D149" s="999"/>
      <c r="E149" s="999"/>
      <c r="F149" s="999"/>
      <c r="G149" s="999"/>
      <c r="H149" s="999"/>
      <c r="I149" s="999"/>
      <c r="J149" s="999"/>
      <c r="K149" s="999"/>
      <c r="L149" s="999"/>
      <c r="M149" s="999"/>
      <c r="N149" s="999"/>
      <c r="O149" s="999"/>
      <c r="P149" s="192"/>
      <c r="Q149" s="205"/>
      <c r="R149" s="269"/>
    </row>
    <row r="150" spans="1:18" ht="21" customHeight="1">
      <c r="A150" s="259"/>
      <c r="B150" s="1075" t="s">
        <v>372</v>
      </c>
      <c r="C150" s="1075"/>
      <c r="D150" s="1075"/>
      <c r="E150" s="1075"/>
      <c r="F150" s="1075"/>
      <c r="G150" s="1075"/>
      <c r="H150" s="1075"/>
      <c r="I150" s="308"/>
      <c r="J150" s="308"/>
      <c r="K150" s="308"/>
      <c r="L150" s="308"/>
      <c r="M150" s="308"/>
      <c r="N150" s="308"/>
      <c r="O150" s="303"/>
      <c r="P150" s="192"/>
      <c r="Q150" s="205"/>
      <c r="R150" s="269"/>
    </row>
    <row r="151" spans="1:18" ht="18.75" customHeight="1">
      <c r="A151" s="244"/>
      <c r="B151" s="211" t="s">
        <v>383</v>
      </c>
      <c r="C151" s="185"/>
      <c r="D151" s="185"/>
      <c r="E151" s="185"/>
      <c r="F151" s="185"/>
      <c r="G151" s="185"/>
      <c r="H151" s="203">
        <v>4</v>
      </c>
      <c r="I151" s="313" t="s">
        <v>1</v>
      </c>
      <c r="J151" s="186">
        <v>1.2</v>
      </c>
      <c r="K151" s="313" t="s">
        <v>1</v>
      </c>
      <c r="L151" s="186">
        <v>1.5</v>
      </c>
      <c r="M151" s="188" t="s">
        <v>0</v>
      </c>
      <c r="N151" s="189">
        <f>L151*J151*H151</f>
        <v>7.1999999999999993</v>
      </c>
      <c r="O151" s="283" t="s">
        <v>420</v>
      </c>
      <c r="P151" s="185"/>
      <c r="Q151" s="185"/>
      <c r="R151" s="244"/>
    </row>
    <row r="152" spans="1:18" ht="18" customHeight="1">
      <c r="A152" s="244"/>
      <c r="B152" s="185"/>
      <c r="C152" s="185"/>
      <c r="D152" s="185"/>
      <c r="E152" s="185"/>
      <c r="F152" s="185"/>
      <c r="G152" s="185"/>
      <c r="H152" s="185"/>
      <c r="I152" s="185"/>
      <c r="J152" s="185"/>
      <c r="K152" s="996" t="s">
        <v>8</v>
      </c>
      <c r="L152" s="996"/>
      <c r="M152" s="190" t="s">
        <v>0</v>
      </c>
      <c r="N152" s="204">
        <f>SUM(N151:N151)</f>
        <v>7.1999999999999993</v>
      </c>
      <c r="O152" s="244" t="s">
        <v>420</v>
      </c>
      <c r="P152" s="185"/>
      <c r="Q152" s="185"/>
      <c r="R152" s="244"/>
    </row>
    <row r="153" spans="1:18" ht="15" customHeight="1">
      <c r="A153" s="263"/>
      <c r="B153" s="182"/>
      <c r="C153" s="182"/>
      <c r="D153" s="182"/>
      <c r="E153" s="182"/>
      <c r="F153" s="182"/>
      <c r="G153" s="182"/>
      <c r="H153" s="182"/>
      <c r="I153" s="182"/>
      <c r="J153" s="193" t="s">
        <v>350</v>
      </c>
      <c r="K153" s="307" t="s">
        <v>11</v>
      </c>
      <c r="L153" s="989">
        <v>3457</v>
      </c>
      <c r="M153" s="989"/>
      <c r="N153" s="306" t="s">
        <v>421</v>
      </c>
      <c r="O153" s="294"/>
      <c r="P153" s="190" t="s">
        <v>0</v>
      </c>
      <c r="Q153" s="205" t="s">
        <v>11</v>
      </c>
      <c r="R153" s="269">
        <f>ROUND(N152*L153,0)</f>
        <v>24890</v>
      </c>
    </row>
    <row r="154" spans="1:18" ht="15" customHeight="1">
      <c r="A154" s="263"/>
      <c r="B154" s="182"/>
      <c r="C154" s="182"/>
      <c r="D154" s="182"/>
      <c r="E154" s="182"/>
      <c r="F154" s="182"/>
      <c r="G154" s="182"/>
      <c r="H154" s="182"/>
      <c r="I154" s="182"/>
      <c r="J154" s="193"/>
      <c r="K154" s="307"/>
      <c r="L154" s="307"/>
      <c r="M154" s="307"/>
      <c r="N154" s="306"/>
      <c r="O154" s="294"/>
      <c r="P154" s="190"/>
      <c r="Q154" s="205"/>
      <c r="R154" s="269"/>
    </row>
    <row r="155" spans="1:18" ht="15" customHeight="1">
      <c r="A155" s="1008" t="s">
        <v>440</v>
      </c>
      <c r="B155" s="1002" t="s">
        <v>414</v>
      </c>
      <c r="C155" s="1002"/>
      <c r="D155" s="1002"/>
      <c r="E155" s="1002"/>
      <c r="F155" s="1002"/>
      <c r="G155" s="1002"/>
      <c r="H155" s="1002"/>
      <c r="I155" s="1002"/>
      <c r="J155" s="1002"/>
      <c r="K155" s="1002"/>
      <c r="L155" s="1002"/>
      <c r="M155" s="1002"/>
      <c r="N155" s="1002"/>
      <c r="O155" s="279"/>
      <c r="P155" s="207"/>
      <c r="Q155" s="208"/>
      <c r="R155" s="274"/>
    </row>
    <row r="156" spans="1:18" ht="36.75" customHeight="1">
      <c r="A156" s="1008"/>
      <c r="B156" s="1002"/>
      <c r="C156" s="1002"/>
      <c r="D156" s="1002"/>
      <c r="E156" s="1002"/>
      <c r="F156" s="1002"/>
      <c r="G156" s="1002"/>
      <c r="H156" s="1002"/>
      <c r="I156" s="1002"/>
      <c r="J156" s="1002"/>
      <c r="K156" s="1002"/>
      <c r="L156" s="1002"/>
      <c r="M156" s="1002"/>
      <c r="N156" s="1002"/>
      <c r="O156" s="279"/>
      <c r="P156" s="207"/>
      <c r="Q156" s="208"/>
      <c r="R156" s="274"/>
    </row>
    <row r="157" spans="1:18" ht="15" customHeight="1">
      <c r="A157" s="263"/>
      <c r="B157" s="182"/>
      <c r="C157" s="182"/>
      <c r="D157" s="182"/>
      <c r="E157" s="182"/>
      <c r="F157" s="182"/>
      <c r="G157" s="182"/>
      <c r="H157" s="182"/>
      <c r="I157" s="182"/>
      <c r="J157" s="193"/>
      <c r="K157" s="307"/>
      <c r="L157" s="307"/>
      <c r="M157" s="307"/>
      <c r="N157" s="306"/>
      <c r="O157" s="279"/>
      <c r="P157" s="207"/>
      <c r="Q157" s="208"/>
      <c r="R157" s="274"/>
    </row>
    <row r="158" spans="1:18" ht="15" customHeight="1">
      <c r="A158" s="263"/>
      <c r="B158" s="1075" t="s">
        <v>372</v>
      </c>
      <c r="C158" s="1075"/>
      <c r="D158" s="1075"/>
      <c r="E158" s="1075"/>
      <c r="F158" s="1075"/>
      <c r="G158" s="1075"/>
      <c r="H158" s="1075"/>
      <c r="I158" s="308"/>
      <c r="J158" s="308"/>
      <c r="K158" s="308"/>
      <c r="L158" s="308"/>
      <c r="M158" s="308"/>
      <c r="N158" s="308"/>
      <c r="O158" s="303"/>
      <c r="P158" s="207"/>
      <c r="Q158" s="208"/>
      <c r="R158" s="274"/>
    </row>
    <row r="159" spans="1:18" ht="15" customHeight="1">
      <c r="A159" s="263"/>
      <c r="B159" s="211" t="s">
        <v>383</v>
      </c>
      <c r="C159" s="185"/>
      <c r="D159" s="185"/>
      <c r="E159" s="185"/>
      <c r="F159" s="244"/>
      <c r="G159" s="185"/>
      <c r="H159" s="203">
        <f>H151</f>
        <v>4</v>
      </c>
      <c r="I159" s="313" t="s">
        <v>1</v>
      </c>
      <c r="J159" s="186">
        <v>1.2</v>
      </c>
      <c r="K159" s="313" t="s">
        <v>1</v>
      </c>
      <c r="L159" s="186">
        <v>1.5</v>
      </c>
      <c r="M159" s="188" t="s">
        <v>0</v>
      </c>
      <c r="N159" s="189">
        <f>L159*J159*H159</f>
        <v>7.1999999999999993</v>
      </c>
      <c r="O159" s="283" t="s">
        <v>420</v>
      </c>
      <c r="P159" s="207"/>
      <c r="Q159" s="208"/>
      <c r="R159" s="274"/>
    </row>
    <row r="160" spans="1:18" ht="15" customHeight="1">
      <c r="A160" s="263"/>
      <c r="B160" s="182"/>
      <c r="C160" s="182"/>
      <c r="D160" s="182"/>
      <c r="E160" s="182"/>
      <c r="F160" s="182"/>
      <c r="G160" s="182"/>
      <c r="H160" s="182"/>
      <c r="I160" s="182"/>
      <c r="J160" s="185"/>
      <c r="K160" s="996" t="s">
        <v>8</v>
      </c>
      <c r="L160" s="996"/>
      <c r="M160" s="190" t="s">
        <v>0</v>
      </c>
      <c r="N160" s="204">
        <f>SUM(N159)</f>
        <v>7.1999999999999993</v>
      </c>
      <c r="O160" s="244" t="s">
        <v>420</v>
      </c>
      <c r="P160" s="185"/>
      <c r="Q160" s="185"/>
      <c r="R160" s="244"/>
    </row>
    <row r="161" spans="1:30" ht="15" customHeight="1">
      <c r="A161" s="263"/>
      <c r="B161" s="182"/>
      <c r="C161" s="182"/>
      <c r="D161" s="182"/>
      <c r="E161" s="182"/>
      <c r="F161" s="182"/>
      <c r="G161" s="182"/>
      <c r="H161" s="182"/>
      <c r="I161" s="182"/>
      <c r="J161" s="193" t="s">
        <v>350</v>
      </c>
      <c r="K161" s="307" t="s">
        <v>11</v>
      </c>
      <c r="L161" s="989">
        <v>1093</v>
      </c>
      <c r="M161" s="989"/>
      <c r="N161" s="306" t="s">
        <v>421</v>
      </c>
      <c r="O161" s="294"/>
      <c r="P161" s="190" t="s">
        <v>0</v>
      </c>
      <c r="Q161" s="205" t="s">
        <v>11</v>
      </c>
      <c r="R161" s="269">
        <f>ROUND(N160*L161,0)</f>
        <v>7870</v>
      </c>
    </row>
    <row r="162" spans="1:30" ht="15" customHeight="1">
      <c r="A162" s="263"/>
      <c r="B162" s="182"/>
      <c r="C162" s="182"/>
      <c r="D162" s="182"/>
      <c r="E162" s="182"/>
      <c r="F162" s="182"/>
      <c r="G162" s="182"/>
      <c r="H162" s="182"/>
      <c r="I162" s="182"/>
      <c r="J162" s="193"/>
      <c r="K162" s="307"/>
      <c r="L162" s="307"/>
      <c r="M162" s="307"/>
      <c r="N162" s="306"/>
      <c r="O162" s="281" t="s">
        <v>24</v>
      </c>
      <c r="P162" s="251" t="s">
        <v>0</v>
      </c>
      <c r="Q162" s="252" t="s">
        <v>11</v>
      </c>
      <c r="R162" s="273">
        <f>SUM(R129:R161)</f>
        <v>886703.37</v>
      </c>
    </row>
    <row r="163" spans="1:30" ht="15" customHeight="1">
      <c r="A163" s="263"/>
      <c r="B163" s="182"/>
      <c r="C163" s="182"/>
      <c r="D163" s="182"/>
      <c r="E163" s="182"/>
      <c r="F163" s="182"/>
      <c r="G163" s="182"/>
      <c r="H163" s="182"/>
      <c r="I163" s="182"/>
      <c r="J163" s="193"/>
      <c r="K163" s="307"/>
      <c r="L163" s="307"/>
      <c r="M163" s="307"/>
      <c r="N163" s="306"/>
      <c r="O163" s="281" t="s">
        <v>25</v>
      </c>
      <c r="P163" s="251" t="s">
        <v>0</v>
      </c>
      <c r="Q163" s="252" t="s">
        <v>11</v>
      </c>
      <c r="R163" s="273">
        <f>R162</f>
        <v>886703.37</v>
      </c>
    </row>
    <row r="164" spans="1:30" ht="15" customHeight="1">
      <c r="A164" s="263"/>
      <c r="B164" s="182"/>
      <c r="C164" s="182"/>
      <c r="D164" s="182"/>
      <c r="E164" s="182"/>
      <c r="F164" s="182"/>
      <c r="G164" s="182"/>
      <c r="H164" s="182"/>
      <c r="I164" s="182"/>
      <c r="J164" s="193"/>
      <c r="K164" s="307"/>
      <c r="L164" s="307"/>
      <c r="M164" s="307"/>
      <c r="N164" s="306"/>
      <c r="O164" s="281"/>
      <c r="P164" s="251"/>
      <c r="Q164" s="252"/>
      <c r="R164" s="273"/>
    </row>
    <row r="165" spans="1:30" ht="48.75" customHeight="1">
      <c r="A165" s="303" t="s">
        <v>441</v>
      </c>
      <c r="B165" s="999" t="s">
        <v>373</v>
      </c>
      <c r="C165" s="999"/>
      <c r="D165" s="999"/>
      <c r="E165" s="999"/>
      <c r="F165" s="999"/>
      <c r="G165" s="999"/>
      <c r="H165" s="999"/>
      <c r="I165" s="999"/>
      <c r="J165" s="999"/>
      <c r="K165" s="999"/>
      <c r="L165" s="999"/>
      <c r="M165" s="999"/>
      <c r="N165" s="999"/>
      <c r="O165" s="999"/>
      <c r="P165" s="192"/>
      <c r="Q165" s="205"/>
      <c r="R165" s="269"/>
    </row>
    <row r="166" spans="1:30" ht="20.25" customHeight="1">
      <c r="A166" s="244"/>
      <c r="B166" s="211"/>
      <c r="C166" s="185"/>
      <c r="D166" s="185"/>
      <c r="E166" s="185"/>
      <c r="F166" s="185"/>
      <c r="G166" s="185"/>
      <c r="H166" s="203">
        <v>2</v>
      </c>
      <c r="I166" s="313" t="s">
        <v>1</v>
      </c>
      <c r="J166" s="256">
        <f>N121</f>
        <v>138.23999999999998</v>
      </c>
      <c r="K166" s="313" t="s">
        <v>1</v>
      </c>
      <c r="L166" s="186">
        <v>3</v>
      </c>
      <c r="M166" s="188" t="s">
        <v>0</v>
      </c>
      <c r="N166" s="189">
        <f>L166*J166*H166</f>
        <v>829.43999999999983</v>
      </c>
      <c r="O166" s="283" t="s">
        <v>420</v>
      </c>
      <c r="P166" s="185"/>
      <c r="Q166" s="185"/>
      <c r="R166" s="244"/>
    </row>
    <row r="167" spans="1:30" ht="16.5" customHeight="1">
      <c r="A167" s="244"/>
      <c r="B167" s="185"/>
      <c r="C167" s="185"/>
      <c r="D167" s="185"/>
      <c r="E167" s="185"/>
      <c r="F167" s="185"/>
      <c r="G167" s="185"/>
      <c r="H167" s="185"/>
      <c r="I167" s="185"/>
      <c r="J167" s="185"/>
      <c r="K167" s="996" t="s">
        <v>8</v>
      </c>
      <c r="L167" s="996"/>
      <c r="M167" s="190" t="s">
        <v>0</v>
      </c>
      <c r="N167" s="204">
        <f>SUM(N166)</f>
        <v>829.43999999999983</v>
      </c>
      <c r="O167" s="244" t="s">
        <v>420</v>
      </c>
      <c r="P167" s="185"/>
      <c r="Q167" s="185"/>
      <c r="R167" s="244"/>
    </row>
    <row r="168" spans="1:30" ht="15" customHeight="1">
      <c r="A168" s="263"/>
      <c r="B168" s="182"/>
      <c r="C168" s="182"/>
      <c r="D168" s="182"/>
      <c r="E168" s="182"/>
      <c r="F168" s="182"/>
      <c r="G168" s="182"/>
      <c r="H168" s="182"/>
      <c r="I168" s="182"/>
      <c r="J168" s="193" t="s">
        <v>350</v>
      </c>
      <c r="K168" s="307" t="s">
        <v>11</v>
      </c>
      <c r="L168" s="989">
        <v>67</v>
      </c>
      <c r="M168" s="989"/>
      <c r="N168" s="306" t="s">
        <v>421</v>
      </c>
      <c r="O168" s="294"/>
      <c r="P168" s="190" t="s">
        <v>0</v>
      </c>
      <c r="Q168" s="205" t="s">
        <v>11</v>
      </c>
      <c r="R168" s="269">
        <f>ROUND(N167*L168,0)</f>
        <v>55572</v>
      </c>
    </row>
    <row r="169" spans="1:30" ht="15" customHeight="1">
      <c r="A169" s="263"/>
      <c r="B169" s="182"/>
      <c r="C169" s="182"/>
      <c r="D169" s="182"/>
      <c r="E169" s="182"/>
      <c r="F169" s="182"/>
      <c r="G169" s="182"/>
      <c r="H169" s="182"/>
      <c r="I169" s="182"/>
      <c r="J169" s="193"/>
      <c r="K169" s="307"/>
      <c r="L169" s="307"/>
      <c r="M169" s="307"/>
      <c r="N169" s="306"/>
      <c r="O169" s="294"/>
      <c r="P169" s="190"/>
      <c r="Q169" s="205"/>
      <c r="R169" s="269"/>
    </row>
    <row r="170" spans="1:30" ht="15" customHeight="1">
      <c r="A170" s="263"/>
      <c r="B170" s="182"/>
      <c r="C170" s="182"/>
      <c r="D170" s="182"/>
      <c r="E170" s="182"/>
      <c r="F170" s="182"/>
      <c r="G170" s="182"/>
      <c r="H170" s="182"/>
      <c r="I170" s="182"/>
      <c r="J170" s="193"/>
      <c r="K170" s="307"/>
      <c r="L170" s="307"/>
      <c r="M170" s="307"/>
      <c r="N170" s="306"/>
      <c r="O170" s="157"/>
      <c r="R170" s="157"/>
    </row>
    <row r="171" spans="1:30" ht="15" customHeight="1">
      <c r="A171" s="1008" t="s">
        <v>442</v>
      </c>
      <c r="B171" s="998" t="s">
        <v>415</v>
      </c>
      <c r="C171" s="998"/>
      <c r="D171" s="998"/>
      <c r="E171" s="998"/>
      <c r="F171" s="998"/>
      <c r="G171" s="998"/>
      <c r="H171" s="998"/>
      <c r="I171" s="998"/>
      <c r="J171" s="998"/>
      <c r="K171" s="998"/>
      <c r="L171" s="998"/>
      <c r="M171" s="998"/>
      <c r="N171" s="998"/>
      <c r="O171" s="998"/>
      <c r="P171" s="190"/>
      <c r="Q171" s="205"/>
      <c r="R171" s="269"/>
    </row>
    <row r="172" spans="1:30" ht="37.5" customHeight="1">
      <c r="A172" s="1008"/>
      <c r="B172" s="998"/>
      <c r="C172" s="998"/>
      <c r="D172" s="998"/>
      <c r="E172" s="998"/>
      <c r="F172" s="998"/>
      <c r="G172" s="998"/>
      <c r="H172" s="998"/>
      <c r="I172" s="998"/>
      <c r="J172" s="998"/>
      <c r="K172" s="998"/>
      <c r="L172" s="998"/>
      <c r="M172" s="998"/>
      <c r="N172" s="998"/>
      <c r="O172" s="998"/>
      <c r="P172" s="190"/>
      <c r="Q172" s="205"/>
      <c r="R172" s="269"/>
    </row>
    <row r="173" spans="1:30" ht="15" customHeight="1">
      <c r="A173" s="263"/>
      <c r="B173" s="246"/>
      <c r="C173" s="246"/>
      <c r="D173" s="246"/>
      <c r="E173" s="246"/>
      <c r="F173" s="246"/>
      <c r="G173" s="246"/>
      <c r="H173" s="203">
        <v>1</v>
      </c>
      <c r="I173" s="313" t="s">
        <v>1</v>
      </c>
      <c r="J173" s="256">
        <f>J166</f>
        <v>138.23999999999998</v>
      </c>
      <c r="K173" s="313" t="s">
        <v>1</v>
      </c>
      <c r="L173" s="186">
        <f>L166</f>
        <v>3</v>
      </c>
      <c r="M173" s="188" t="s">
        <v>0</v>
      </c>
      <c r="N173" s="189">
        <f>L173*J173*H173</f>
        <v>414.71999999999991</v>
      </c>
      <c r="O173" s="283" t="s">
        <v>420</v>
      </c>
      <c r="P173" s="185"/>
      <c r="Q173" s="185"/>
      <c r="R173" s="244"/>
    </row>
    <row r="174" spans="1:30" ht="15" customHeight="1">
      <c r="A174" s="263"/>
      <c r="B174" s="182"/>
      <c r="C174" s="182"/>
      <c r="D174" s="182"/>
      <c r="E174" s="182"/>
      <c r="F174" s="182"/>
      <c r="G174" s="182"/>
      <c r="H174" s="185"/>
      <c r="I174" s="185"/>
      <c r="J174" s="185"/>
      <c r="K174" s="996" t="s">
        <v>8</v>
      </c>
      <c r="L174" s="996"/>
      <c r="M174" s="190" t="s">
        <v>0</v>
      </c>
      <c r="N174" s="204">
        <f>SUM(N173)</f>
        <v>414.71999999999991</v>
      </c>
      <c r="O174" s="244" t="s">
        <v>420</v>
      </c>
      <c r="P174" s="185"/>
      <c r="Q174" s="185"/>
      <c r="R174" s="244"/>
    </row>
    <row r="175" spans="1:30" ht="15" customHeight="1">
      <c r="A175" s="263"/>
      <c r="B175" s="182"/>
      <c r="C175" s="182"/>
      <c r="D175" s="182"/>
      <c r="E175" s="182"/>
      <c r="F175" s="182"/>
      <c r="G175" s="182"/>
      <c r="H175" s="182"/>
      <c r="I175" s="182"/>
      <c r="J175" s="193" t="s">
        <v>350</v>
      </c>
      <c r="K175" s="307" t="s">
        <v>11</v>
      </c>
      <c r="L175" s="989">
        <v>87</v>
      </c>
      <c r="M175" s="989"/>
      <c r="N175" s="306" t="s">
        <v>421</v>
      </c>
      <c r="O175" s="294"/>
      <c r="P175" s="188" t="s">
        <v>0</v>
      </c>
      <c r="Q175" s="247" t="s">
        <v>11</v>
      </c>
      <c r="R175" s="275">
        <f>ROUND(N174*L175,0)</f>
        <v>36081</v>
      </c>
    </row>
    <row r="176" spans="1:30" ht="15" customHeight="1">
      <c r="A176" s="263"/>
      <c r="B176" s="182"/>
      <c r="C176" s="182"/>
      <c r="D176" s="182"/>
      <c r="E176" s="182"/>
      <c r="F176" s="182"/>
      <c r="G176" s="182"/>
      <c r="H176" s="182"/>
      <c r="I176" s="182"/>
      <c r="J176" s="193"/>
      <c r="K176" s="307"/>
      <c r="L176" s="307"/>
      <c r="M176" s="307"/>
      <c r="N176" s="990" t="s">
        <v>369</v>
      </c>
      <c r="O176" s="990"/>
      <c r="P176" s="251" t="s">
        <v>0</v>
      </c>
      <c r="Q176" s="252" t="s">
        <v>11</v>
      </c>
      <c r="R176" s="276">
        <f>SUM(R163:R175)</f>
        <v>978356.37</v>
      </c>
      <c r="W176" s="159"/>
      <c r="X176" s="159"/>
      <c r="Y176" s="159"/>
      <c r="Z176" s="159"/>
      <c r="AA176" s="159"/>
      <c r="AB176" s="159"/>
      <c r="AC176" s="159"/>
      <c r="AD176" s="159"/>
    </row>
    <row r="177" spans="1:30" ht="13.5" customHeight="1">
      <c r="A177" s="261"/>
      <c r="B177" s="241"/>
      <c r="C177" s="241"/>
      <c r="D177" s="241"/>
      <c r="E177" s="241"/>
      <c r="F177" s="241"/>
      <c r="G177" s="241"/>
      <c r="H177" s="241"/>
      <c r="I177" s="241"/>
      <c r="J177" s="241"/>
      <c r="K177" s="241"/>
      <c r="L177" s="241"/>
      <c r="M177" s="241"/>
      <c r="N177" s="990" t="s">
        <v>351</v>
      </c>
      <c r="O177" s="990"/>
      <c r="P177" s="254" t="s">
        <v>0</v>
      </c>
      <c r="Q177" s="255" t="s">
        <v>11</v>
      </c>
      <c r="R177" s="273">
        <f>R176</f>
        <v>978356.37</v>
      </c>
    </row>
    <row r="178" spans="1:30" ht="13.5" customHeight="1">
      <c r="A178" s="261"/>
      <c r="B178" s="241"/>
      <c r="C178" s="241"/>
      <c r="D178" s="241"/>
      <c r="E178" s="241"/>
      <c r="F178" s="241"/>
      <c r="G178" s="241"/>
      <c r="H178" s="241"/>
      <c r="I178" s="241"/>
      <c r="J178" s="241"/>
      <c r="K178" s="241"/>
      <c r="L178" s="241"/>
      <c r="M178" s="241"/>
      <c r="N178" s="312"/>
      <c r="O178" s="285"/>
      <c r="P178" s="254"/>
      <c r="Q178" s="255"/>
      <c r="R178" s="273"/>
      <c r="W178" s="250"/>
    </row>
    <row r="179" spans="1:30" ht="13.5" customHeight="1">
      <c r="A179" s="261"/>
      <c r="B179" s="241"/>
      <c r="C179" s="241"/>
      <c r="D179" s="241"/>
      <c r="E179" s="241"/>
      <c r="F179" s="241"/>
      <c r="G179" s="241"/>
      <c r="H179" s="241"/>
      <c r="I179" s="241"/>
      <c r="J179" s="241"/>
      <c r="K179" s="241"/>
      <c r="L179" s="241"/>
      <c r="M179" s="241"/>
      <c r="N179" s="312"/>
      <c r="O179" s="285"/>
      <c r="P179" s="254"/>
      <c r="Q179" s="255"/>
      <c r="R179" s="273"/>
    </row>
    <row r="180" spans="1:30" ht="13.5" customHeight="1">
      <c r="A180" s="261"/>
      <c r="B180" s="241"/>
      <c r="C180" s="241"/>
      <c r="D180" s="241"/>
      <c r="E180" s="241"/>
      <c r="F180" s="241"/>
      <c r="G180" s="241"/>
      <c r="H180" s="241"/>
      <c r="I180" s="241"/>
      <c r="J180" s="241"/>
      <c r="K180" s="241"/>
      <c r="L180" s="241"/>
      <c r="M180" s="241"/>
      <c r="N180" s="312"/>
      <c r="O180" s="285"/>
      <c r="P180" s="254"/>
      <c r="Q180" s="255"/>
      <c r="R180" s="273"/>
    </row>
    <row r="181" spans="1:30" ht="13.5" customHeight="1">
      <c r="A181" s="294"/>
      <c r="B181" s="192"/>
      <c r="C181" s="192"/>
      <c r="D181" s="192"/>
      <c r="E181" s="192"/>
      <c r="F181" s="237"/>
      <c r="G181" s="205"/>
      <c r="H181" s="192"/>
      <c r="I181" s="238"/>
      <c r="J181" s="213"/>
      <c r="K181" s="192"/>
      <c r="L181" s="187"/>
      <c r="M181" s="304"/>
      <c r="N181" s="192"/>
      <c r="O181" s="294"/>
      <c r="P181" s="192"/>
      <c r="Q181" s="205"/>
      <c r="R181" s="269"/>
    </row>
    <row r="182" spans="1:30" ht="21" customHeight="1">
      <c r="A182" s="991" t="s">
        <v>431</v>
      </c>
      <c r="B182" s="991"/>
      <c r="C182" s="991"/>
      <c r="D182" s="991"/>
      <c r="E182" s="991"/>
      <c r="F182" s="991"/>
      <c r="G182" s="991"/>
      <c r="H182" s="991"/>
      <c r="I182" s="991"/>
      <c r="J182" s="991"/>
      <c r="K182" s="991"/>
      <c r="L182" s="991"/>
      <c r="M182" s="991"/>
      <c r="N182" s="991"/>
      <c r="O182" s="991"/>
      <c r="P182" s="991"/>
      <c r="Q182" s="991"/>
      <c r="R182" s="991"/>
    </row>
    <row r="183" spans="1:30" ht="13.5" customHeight="1">
      <c r="A183" s="991"/>
      <c r="B183" s="991"/>
      <c r="C183" s="991"/>
      <c r="D183" s="991"/>
      <c r="E183" s="991"/>
      <c r="F183" s="991"/>
      <c r="G183" s="991"/>
      <c r="H183" s="991"/>
      <c r="I183" s="991"/>
      <c r="J183" s="991"/>
      <c r="K183" s="991"/>
      <c r="L183" s="991"/>
      <c r="M183" s="991"/>
      <c r="N183" s="991"/>
      <c r="O183" s="991"/>
      <c r="P183" s="991"/>
      <c r="Q183" s="991"/>
      <c r="R183" s="991"/>
    </row>
    <row r="184" spans="1:30" s="159" customFormat="1" ht="14.25" customHeight="1">
      <c r="A184" s="294"/>
      <c r="B184" s="192"/>
      <c r="C184" s="192"/>
      <c r="D184" s="192"/>
      <c r="E184" s="192"/>
      <c r="F184" s="237"/>
      <c r="G184" s="205"/>
      <c r="H184" s="192"/>
      <c r="I184" s="238"/>
      <c r="J184" s="213"/>
      <c r="K184" s="192"/>
      <c r="L184" s="187"/>
      <c r="M184" s="304"/>
      <c r="N184" s="192"/>
      <c r="O184" s="294"/>
      <c r="P184" s="192"/>
      <c r="Q184" s="205"/>
      <c r="R184" s="269"/>
      <c r="W184" s="157"/>
      <c r="X184" s="157"/>
      <c r="Y184" s="157"/>
      <c r="Z184" s="157"/>
      <c r="AA184" s="157"/>
      <c r="AB184" s="157"/>
      <c r="AC184" s="157"/>
      <c r="AD184" s="157"/>
    </row>
    <row r="185" spans="1:30" ht="15" customHeight="1">
      <c r="A185" s="294"/>
      <c r="B185" s="192"/>
      <c r="C185" s="192"/>
      <c r="D185" s="192"/>
      <c r="E185" s="192"/>
      <c r="F185" s="237"/>
      <c r="G185" s="205"/>
      <c r="H185" s="192"/>
      <c r="I185" s="238"/>
      <c r="J185" s="239"/>
      <c r="K185" s="237"/>
      <c r="L185" s="191"/>
      <c r="M185" s="191"/>
      <c r="N185" s="240"/>
      <c r="O185" s="294"/>
      <c r="P185" s="190"/>
      <c r="Q185" s="205"/>
      <c r="R185" s="269"/>
    </row>
    <row r="186" spans="1:30" ht="15" customHeight="1">
      <c r="A186" s="244"/>
      <c r="B186" s="185"/>
      <c r="C186" s="185"/>
      <c r="D186" s="185"/>
      <c r="E186" s="185"/>
      <c r="F186" s="185"/>
      <c r="G186" s="185"/>
      <c r="H186" s="185"/>
      <c r="I186" s="185"/>
      <c r="J186" s="185"/>
      <c r="K186" s="185"/>
      <c r="L186" s="185"/>
      <c r="M186" s="185"/>
      <c r="N186" s="185"/>
      <c r="O186" s="244"/>
      <c r="P186" s="185"/>
      <c r="Q186" s="185"/>
      <c r="R186" s="244"/>
    </row>
    <row r="187" spans="1:30" ht="13.5" customHeight="1">
      <c r="A187" s="992" t="s">
        <v>356</v>
      </c>
      <c r="B187" s="992"/>
      <c r="C187" s="992"/>
      <c r="D187" s="992"/>
      <c r="E187" s="992"/>
      <c r="F187" s="992"/>
      <c r="G187" s="992"/>
      <c r="H187" s="992"/>
      <c r="I187" s="992"/>
      <c r="J187" s="992"/>
      <c r="K187" s="992"/>
      <c r="L187" s="992"/>
      <c r="M187" s="992"/>
      <c r="N187" s="992"/>
      <c r="O187" s="992"/>
      <c r="P187" s="992"/>
      <c r="Q187" s="992"/>
      <c r="R187" s="992"/>
    </row>
    <row r="188" spans="1:30" ht="15.75" customHeight="1">
      <c r="A188" s="294"/>
      <c r="B188" s="192"/>
      <c r="C188" s="192"/>
      <c r="D188" s="192"/>
      <c r="E188" s="192"/>
      <c r="F188" s="237"/>
      <c r="G188" s="205"/>
      <c r="H188" s="192"/>
      <c r="I188" s="238"/>
      <c r="J188" s="239"/>
      <c r="K188" s="237"/>
      <c r="L188" s="191"/>
      <c r="M188" s="191"/>
      <c r="N188" s="240"/>
      <c r="O188" s="294"/>
      <c r="P188" s="190"/>
      <c r="Q188" s="205"/>
      <c r="R188" s="269"/>
    </row>
    <row r="189" spans="1:30" ht="14.25" customHeight="1">
      <c r="A189" s="261"/>
      <c r="B189" s="241"/>
      <c r="C189" s="241"/>
      <c r="D189" s="241"/>
      <c r="E189" s="241"/>
      <c r="F189" s="241"/>
      <c r="G189" s="241"/>
      <c r="H189" s="241"/>
      <c r="I189" s="241"/>
      <c r="J189" s="241"/>
      <c r="K189" s="241"/>
      <c r="L189" s="241"/>
      <c r="M189" s="241"/>
      <c r="N189" s="241"/>
      <c r="O189" s="284"/>
      <c r="P189" s="192"/>
      <c r="Q189" s="205"/>
      <c r="R189" s="269"/>
    </row>
    <row r="190" spans="1:30" ht="17.25" customHeight="1">
      <c r="A190" s="294"/>
      <c r="B190" s="192"/>
      <c r="C190" s="192"/>
      <c r="D190" s="192"/>
      <c r="E190" s="192"/>
      <c r="F190" s="237"/>
      <c r="G190" s="205"/>
      <c r="H190" s="192"/>
      <c r="I190" s="238"/>
      <c r="J190" s="213"/>
      <c r="K190" s="192"/>
      <c r="L190" s="187"/>
      <c r="M190" s="304"/>
      <c r="N190" s="192"/>
      <c r="O190" s="294"/>
      <c r="P190" s="192"/>
      <c r="Q190" s="205"/>
      <c r="R190" s="269"/>
    </row>
    <row r="191" spans="1:30">
      <c r="A191" s="294"/>
      <c r="B191" s="192"/>
      <c r="C191" s="192"/>
      <c r="D191" s="304"/>
      <c r="E191" s="304"/>
      <c r="F191" s="187"/>
      <c r="G191" s="190"/>
      <c r="H191" s="187"/>
      <c r="I191" s="304"/>
      <c r="J191" s="187"/>
      <c r="K191" s="304"/>
      <c r="L191" s="304"/>
      <c r="M191" s="190"/>
      <c r="N191" s="191"/>
      <c r="O191" s="265"/>
      <c r="P191" s="192"/>
      <c r="Q191" s="205"/>
      <c r="R191" s="269"/>
    </row>
    <row r="192" spans="1:30">
      <c r="A192" s="294"/>
      <c r="B192" s="192"/>
      <c r="C192" s="192"/>
      <c r="D192" s="304"/>
      <c r="E192" s="304"/>
      <c r="F192" s="187"/>
      <c r="G192" s="304"/>
      <c r="H192" s="187"/>
      <c r="I192" s="304"/>
      <c r="J192" s="187"/>
      <c r="K192" s="304"/>
      <c r="L192" s="304"/>
      <c r="M192" s="190"/>
      <c r="N192" s="213"/>
      <c r="O192" s="294"/>
      <c r="P192" s="192"/>
      <c r="Q192" s="205"/>
      <c r="R192" s="269"/>
    </row>
    <row r="193" spans="1:18">
      <c r="A193" s="294"/>
      <c r="B193" s="192"/>
      <c r="C193" s="192"/>
      <c r="D193" s="304"/>
      <c r="E193" s="304"/>
      <c r="F193" s="187"/>
      <c r="G193" s="304"/>
      <c r="H193" s="187"/>
      <c r="I193" s="304"/>
      <c r="J193" s="187"/>
      <c r="K193" s="304"/>
      <c r="L193" s="304"/>
      <c r="M193" s="190"/>
      <c r="N193" s="213"/>
      <c r="O193" s="294"/>
      <c r="P193" s="192"/>
      <c r="Q193" s="205"/>
      <c r="R193" s="269"/>
    </row>
    <row r="194" spans="1:18" ht="14.25" customHeight="1">
      <c r="A194" s="294"/>
      <c r="B194" s="192"/>
      <c r="C194" s="192"/>
      <c r="D194" s="304"/>
      <c r="E194" s="304"/>
      <c r="F194" s="187"/>
      <c r="G194" s="304"/>
      <c r="H194" s="187"/>
      <c r="I194" s="304"/>
      <c r="J194" s="187"/>
      <c r="K194" s="304"/>
      <c r="L194" s="304"/>
      <c r="M194" s="190"/>
      <c r="N194" s="213"/>
      <c r="O194" s="294"/>
      <c r="P194" s="192"/>
      <c r="Q194" s="205"/>
      <c r="R194" s="269"/>
    </row>
    <row r="195" spans="1:18" ht="27.75" customHeight="1">
      <c r="A195" s="266"/>
      <c r="B195" s="162"/>
      <c r="C195" s="162"/>
      <c r="D195" s="162"/>
      <c r="E195" s="162"/>
      <c r="F195" s="165"/>
      <c r="G195" s="166"/>
      <c r="H195" s="162"/>
      <c r="I195" s="179"/>
      <c r="J195" s="167"/>
      <c r="K195" s="162"/>
      <c r="L195" s="163"/>
      <c r="M195" s="169"/>
      <c r="N195" s="164"/>
      <c r="O195" s="286"/>
      <c r="P195" s="164"/>
      <c r="Q195" s="170"/>
      <c r="R195" s="277"/>
    </row>
    <row r="196" spans="1:18">
      <c r="A196" s="266"/>
      <c r="B196" s="162"/>
      <c r="C196" s="162"/>
      <c r="D196" s="162"/>
      <c r="E196" s="162"/>
      <c r="F196" s="165"/>
      <c r="G196" s="166"/>
      <c r="H196" s="162"/>
      <c r="I196" s="179"/>
      <c r="J196" s="167"/>
      <c r="K196" s="162"/>
      <c r="L196" s="163"/>
      <c r="M196" s="169"/>
      <c r="N196" s="164"/>
      <c r="O196" s="286"/>
      <c r="P196" s="164"/>
      <c r="Q196" s="170"/>
      <c r="R196" s="277"/>
    </row>
    <row r="197" spans="1:18">
      <c r="A197" s="266"/>
      <c r="B197" s="162"/>
      <c r="C197" s="162"/>
      <c r="D197" s="162"/>
      <c r="E197" s="162"/>
      <c r="F197" s="165"/>
      <c r="G197" s="166"/>
      <c r="H197" s="162"/>
      <c r="I197" s="179"/>
      <c r="J197" s="167"/>
      <c r="K197" s="162"/>
      <c r="L197" s="163"/>
      <c r="M197" s="169"/>
      <c r="N197" s="164"/>
      <c r="O197" s="286"/>
      <c r="P197" s="164"/>
      <c r="Q197" s="170"/>
      <c r="R197" s="277"/>
    </row>
    <row r="198" spans="1:18" ht="14.25" customHeight="1">
      <c r="A198" s="266"/>
      <c r="B198" s="162"/>
      <c r="C198" s="162"/>
      <c r="D198" s="162"/>
      <c r="E198" s="162"/>
      <c r="F198" s="165"/>
      <c r="G198" s="166"/>
      <c r="H198" s="162"/>
      <c r="I198" s="179"/>
      <c r="J198" s="167"/>
      <c r="K198" s="162"/>
      <c r="L198" s="163"/>
      <c r="M198" s="169"/>
      <c r="N198" s="164"/>
      <c r="O198" s="286"/>
      <c r="P198" s="164"/>
      <c r="Q198" s="170"/>
      <c r="R198" s="277"/>
    </row>
    <row r="199" spans="1:18" ht="26.25" customHeight="1">
      <c r="A199" s="266"/>
      <c r="B199" s="162"/>
      <c r="C199" s="162"/>
      <c r="D199" s="162"/>
      <c r="E199" s="162"/>
      <c r="F199" s="165"/>
      <c r="G199" s="166"/>
      <c r="H199" s="162"/>
      <c r="I199" s="179"/>
      <c r="J199" s="167"/>
      <c r="K199" s="162"/>
      <c r="L199" s="163"/>
      <c r="M199" s="169"/>
      <c r="N199" s="164"/>
      <c r="O199" s="286"/>
      <c r="P199" s="164"/>
      <c r="Q199" s="170"/>
      <c r="R199" s="277"/>
    </row>
    <row r="200" spans="1:18">
      <c r="A200" s="266"/>
      <c r="B200" s="162"/>
      <c r="C200" s="162"/>
      <c r="D200" s="162"/>
      <c r="E200" s="162"/>
      <c r="F200" s="165"/>
      <c r="G200" s="166"/>
      <c r="H200" s="162"/>
      <c r="I200" s="179"/>
      <c r="J200" s="167"/>
      <c r="K200" s="162"/>
      <c r="L200" s="163"/>
      <c r="M200" s="169"/>
      <c r="N200" s="164"/>
      <c r="O200" s="286"/>
      <c r="P200" s="164"/>
      <c r="Q200" s="170"/>
      <c r="R200" s="277"/>
    </row>
    <row r="201" spans="1:18" ht="13.5" customHeight="1">
      <c r="A201" s="266"/>
      <c r="B201" s="162"/>
      <c r="C201" s="162"/>
      <c r="D201" s="162"/>
      <c r="E201" s="162"/>
      <c r="F201" s="165"/>
      <c r="G201" s="166"/>
      <c r="H201" s="162"/>
      <c r="I201" s="179"/>
      <c r="J201" s="167"/>
      <c r="K201" s="162"/>
      <c r="L201" s="163"/>
      <c r="M201" s="169"/>
      <c r="N201" s="164"/>
      <c r="O201" s="286"/>
      <c r="P201" s="164"/>
      <c r="Q201" s="170"/>
      <c r="R201" s="277"/>
    </row>
    <row r="202" spans="1:18">
      <c r="A202" s="266"/>
      <c r="B202" s="162"/>
      <c r="C202" s="162"/>
      <c r="D202" s="162"/>
      <c r="E202" s="162"/>
      <c r="F202" s="165"/>
      <c r="G202" s="166"/>
      <c r="H202" s="162"/>
      <c r="I202" s="179"/>
      <c r="J202" s="167"/>
      <c r="K202" s="162"/>
      <c r="L202" s="163"/>
      <c r="M202" s="169"/>
      <c r="N202" s="164"/>
      <c r="O202" s="286"/>
      <c r="P202" s="164"/>
      <c r="Q202" s="170"/>
      <c r="R202" s="277"/>
    </row>
    <row r="203" spans="1:18">
      <c r="A203" s="266"/>
      <c r="B203" s="162"/>
      <c r="C203" s="162"/>
      <c r="D203" s="162"/>
      <c r="E203" s="162"/>
      <c r="F203" s="165"/>
      <c r="G203" s="166"/>
      <c r="H203" s="162"/>
      <c r="I203" s="179"/>
      <c r="J203" s="167"/>
      <c r="K203" s="162"/>
      <c r="L203" s="163"/>
      <c r="M203" s="169"/>
      <c r="N203" s="164"/>
      <c r="O203" s="286"/>
      <c r="P203" s="164"/>
      <c r="Q203" s="170"/>
      <c r="R203" s="277"/>
    </row>
    <row r="204" spans="1:18" ht="15.75" customHeight="1">
      <c r="A204" s="266"/>
      <c r="B204" s="162"/>
      <c r="C204" s="162"/>
      <c r="D204" s="162"/>
      <c r="E204" s="162"/>
      <c r="F204" s="165"/>
      <c r="G204" s="166"/>
      <c r="H204" s="162"/>
      <c r="I204" s="179"/>
      <c r="J204" s="167"/>
      <c r="K204" s="162"/>
      <c r="L204" s="163"/>
      <c r="M204" s="169"/>
      <c r="N204" s="164"/>
      <c r="O204" s="286"/>
      <c r="P204" s="164"/>
      <c r="Q204" s="170"/>
      <c r="R204" s="277"/>
    </row>
    <row r="205" spans="1:18" ht="15" customHeight="1">
      <c r="A205" s="266"/>
      <c r="B205" s="162"/>
      <c r="C205" s="162"/>
      <c r="D205" s="162"/>
      <c r="E205" s="162"/>
      <c r="F205" s="165"/>
      <c r="G205" s="166"/>
      <c r="H205" s="162"/>
      <c r="I205" s="179"/>
      <c r="J205" s="167"/>
      <c r="K205" s="162"/>
      <c r="L205" s="163"/>
      <c r="M205" s="169"/>
      <c r="N205" s="164"/>
      <c r="O205" s="286"/>
      <c r="P205" s="164"/>
      <c r="Q205" s="170"/>
      <c r="R205" s="277"/>
    </row>
    <row r="206" spans="1:18" ht="15" customHeight="1">
      <c r="A206" s="266"/>
      <c r="B206" s="162"/>
      <c r="C206" s="162"/>
      <c r="D206" s="162"/>
      <c r="E206" s="162"/>
      <c r="F206" s="165"/>
      <c r="G206" s="166"/>
      <c r="H206" s="162"/>
      <c r="I206" s="179"/>
      <c r="J206" s="167"/>
      <c r="K206" s="162"/>
      <c r="L206" s="163"/>
      <c r="M206" s="169"/>
      <c r="N206" s="164"/>
      <c r="O206" s="286"/>
      <c r="P206" s="164"/>
      <c r="Q206" s="170"/>
      <c r="R206" s="277"/>
    </row>
    <row r="207" spans="1:18" ht="15" customHeight="1">
      <c r="A207" s="266"/>
      <c r="B207" s="162"/>
      <c r="C207" s="162"/>
      <c r="D207" s="162"/>
      <c r="E207" s="162"/>
      <c r="F207" s="165"/>
      <c r="G207" s="166"/>
      <c r="H207" s="162"/>
      <c r="I207" s="179"/>
      <c r="J207" s="167"/>
      <c r="K207" s="162"/>
      <c r="L207" s="163"/>
      <c r="M207" s="169"/>
      <c r="N207" s="164"/>
      <c r="O207" s="286"/>
      <c r="P207" s="164"/>
      <c r="Q207" s="170"/>
      <c r="R207" s="277"/>
    </row>
    <row r="208" spans="1:18" ht="15" customHeight="1">
      <c r="A208" s="266"/>
      <c r="B208" s="162"/>
      <c r="C208" s="162"/>
      <c r="D208" s="162"/>
      <c r="E208" s="162"/>
      <c r="F208" s="165"/>
      <c r="G208" s="166"/>
      <c r="H208" s="162"/>
      <c r="I208" s="179"/>
      <c r="J208" s="167"/>
      <c r="K208" s="162"/>
      <c r="L208" s="163"/>
      <c r="M208" s="169"/>
      <c r="N208" s="164"/>
      <c r="O208" s="286"/>
      <c r="P208" s="164"/>
      <c r="Q208" s="170"/>
      <c r="R208" s="277"/>
    </row>
    <row r="209" spans="1:30" ht="14.25" customHeight="1">
      <c r="A209" s="266"/>
      <c r="B209" s="162"/>
      <c r="C209" s="162"/>
      <c r="D209" s="162"/>
      <c r="E209" s="162"/>
      <c r="F209" s="165"/>
      <c r="G209" s="166"/>
      <c r="H209" s="162"/>
      <c r="I209" s="179"/>
      <c r="J209" s="167"/>
      <c r="K209" s="162"/>
      <c r="L209" s="163"/>
      <c r="M209" s="169"/>
      <c r="N209" s="164"/>
      <c r="O209" s="286"/>
      <c r="P209" s="164"/>
      <c r="Q209" s="170"/>
      <c r="R209" s="277"/>
    </row>
    <row r="210" spans="1:30" ht="13.5" customHeight="1">
      <c r="A210" s="266"/>
      <c r="B210" s="162"/>
      <c r="C210" s="162"/>
      <c r="D210" s="162"/>
      <c r="E210" s="162"/>
      <c r="F210" s="165"/>
      <c r="G210" s="166"/>
      <c r="H210" s="162"/>
      <c r="I210" s="179"/>
      <c r="J210" s="167"/>
      <c r="K210" s="162"/>
      <c r="L210" s="163"/>
      <c r="M210" s="169"/>
      <c r="N210" s="164"/>
      <c r="O210" s="286"/>
      <c r="P210" s="164"/>
      <c r="Q210" s="170"/>
      <c r="R210" s="277"/>
    </row>
    <row r="211" spans="1:30" ht="13.5" customHeight="1">
      <c r="A211" s="266"/>
      <c r="B211" s="162"/>
      <c r="C211" s="162"/>
      <c r="D211" s="162"/>
      <c r="E211" s="162"/>
      <c r="F211" s="165"/>
      <c r="G211" s="166"/>
      <c r="H211" s="162"/>
      <c r="I211" s="179"/>
      <c r="J211" s="167"/>
      <c r="K211" s="162"/>
      <c r="L211" s="163"/>
      <c r="M211" s="169"/>
      <c r="N211" s="164"/>
      <c r="O211" s="286"/>
      <c r="P211" s="164"/>
      <c r="Q211" s="170"/>
      <c r="R211" s="277"/>
    </row>
    <row r="212" spans="1:30" ht="13.5" customHeight="1">
      <c r="A212" s="266"/>
      <c r="B212" s="162"/>
      <c r="C212" s="162"/>
      <c r="D212" s="162"/>
      <c r="E212" s="162"/>
      <c r="F212" s="165"/>
      <c r="G212" s="166"/>
      <c r="H212" s="162"/>
      <c r="I212" s="179"/>
      <c r="J212" s="167"/>
      <c r="K212" s="162"/>
      <c r="L212" s="163"/>
      <c r="M212" s="169"/>
      <c r="N212" s="164"/>
      <c r="O212" s="286"/>
      <c r="P212" s="164"/>
      <c r="Q212" s="170"/>
      <c r="R212" s="277"/>
    </row>
    <row r="213" spans="1:30" ht="15" customHeight="1">
      <c r="A213" s="266"/>
      <c r="B213" s="162"/>
      <c r="C213" s="162"/>
      <c r="D213" s="162"/>
      <c r="E213" s="162"/>
      <c r="F213" s="165"/>
      <c r="G213" s="166"/>
      <c r="H213" s="162"/>
      <c r="I213" s="179"/>
      <c r="J213" s="167"/>
      <c r="K213" s="162"/>
      <c r="L213" s="163"/>
      <c r="M213" s="169"/>
      <c r="N213" s="164"/>
      <c r="O213" s="286"/>
      <c r="P213" s="164"/>
      <c r="Q213" s="170"/>
      <c r="R213" s="277"/>
    </row>
    <row r="214" spans="1:30" ht="15.75" customHeight="1">
      <c r="A214" s="266"/>
      <c r="B214" s="162"/>
      <c r="C214" s="162"/>
      <c r="D214" s="162"/>
      <c r="E214" s="162"/>
      <c r="F214" s="165"/>
      <c r="G214" s="166"/>
      <c r="H214" s="162"/>
      <c r="I214" s="179"/>
      <c r="J214" s="167"/>
      <c r="K214" s="162"/>
      <c r="L214" s="163"/>
      <c r="M214" s="169"/>
      <c r="N214" s="164"/>
      <c r="O214" s="286"/>
      <c r="P214" s="164"/>
      <c r="Q214" s="170"/>
      <c r="R214" s="277"/>
    </row>
    <row r="215" spans="1:30" ht="16.5" customHeight="1">
      <c r="A215" s="266"/>
      <c r="B215" s="162"/>
      <c r="C215" s="162"/>
      <c r="D215" s="162"/>
      <c r="E215" s="162"/>
      <c r="F215" s="165"/>
      <c r="G215" s="166"/>
      <c r="H215" s="162"/>
      <c r="I215" s="179"/>
      <c r="J215" s="167"/>
      <c r="K215" s="162"/>
      <c r="L215" s="163"/>
      <c r="M215" s="169"/>
      <c r="N215" s="164"/>
      <c r="O215" s="286"/>
      <c r="P215" s="164"/>
      <c r="Q215" s="170"/>
      <c r="R215" s="277"/>
    </row>
    <row r="216" spans="1:30" ht="12.75" customHeight="1">
      <c r="A216" s="266"/>
      <c r="B216" s="162"/>
      <c r="C216" s="162"/>
      <c r="D216" s="162"/>
      <c r="E216" s="162"/>
      <c r="F216" s="165"/>
      <c r="G216" s="166"/>
      <c r="H216" s="162"/>
      <c r="I216" s="179"/>
      <c r="J216" s="167"/>
      <c r="K216" s="162"/>
      <c r="L216" s="163"/>
      <c r="M216" s="169"/>
      <c r="N216" s="164"/>
      <c r="O216" s="286"/>
      <c r="P216" s="164"/>
      <c r="Q216" s="170"/>
      <c r="R216" s="277"/>
    </row>
    <row r="217" spans="1:30" ht="15" customHeight="1">
      <c r="A217" s="266"/>
      <c r="B217" s="162"/>
      <c r="C217" s="162"/>
      <c r="D217" s="162"/>
      <c r="E217" s="162"/>
      <c r="F217" s="165"/>
      <c r="G217" s="166"/>
      <c r="H217" s="162"/>
      <c r="I217" s="179"/>
      <c r="J217" s="167"/>
      <c r="K217" s="162"/>
      <c r="L217" s="163"/>
      <c r="M217" s="169"/>
      <c r="N217" s="164"/>
      <c r="O217" s="286"/>
      <c r="P217" s="164"/>
      <c r="Q217" s="170"/>
      <c r="R217" s="277"/>
    </row>
    <row r="218" spans="1:30" ht="14.25" customHeight="1">
      <c r="A218" s="266"/>
      <c r="B218" s="162"/>
      <c r="C218" s="162"/>
      <c r="D218" s="162"/>
      <c r="E218" s="162"/>
      <c r="F218" s="165"/>
      <c r="G218" s="166"/>
      <c r="H218" s="162"/>
      <c r="I218" s="179"/>
      <c r="J218" s="167"/>
      <c r="K218" s="162"/>
      <c r="L218" s="163"/>
      <c r="M218" s="169"/>
      <c r="N218" s="164"/>
      <c r="O218" s="286"/>
      <c r="P218" s="164"/>
      <c r="Q218" s="170"/>
      <c r="R218" s="277"/>
    </row>
    <row r="219" spans="1:30" s="267" customFormat="1" ht="14.25" customHeight="1">
      <c r="B219" s="157"/>
      <c r="C219" s="157"/>
      <c r="D219" s="157"/>
      <c r="E219" s="157"/>
      <c r="F219" s="157"/>
      <c r="G219" s="157"/>
      <c r="H219" s="157"/>
      <c r="I219" s="157"/>
      <c r="J219" s="157"/>
      <c r="K219" s="157"/>
      <c r="L219" s="157"/>
      <c r="M219" s="157"/>
      <c r="N219" s="157"/>
      <c r="P219" s="157"/>
      <c r="Q219" s="157"/>
      <c r="S219" s="157"/>
      <c r="T219" s="157"/>
      <c r="U219" s="157"/>
      <c r="V219" s="157"/>
      <c r="W219" s="157"/>
      <c r="X219" s="157"/>
      <c r="Y219" s="157"/>
      <c r="Z219" s="157"/>
      <c r="AA219" s="157"/>
      <c r="AB219" s="157"/>
      <c r="AC219" s="157"/>
      <c r="AD219" s="157"/>
    </row>
    <row r="237" spans="2:30" s="267" customFormat="1" ht="12.75" customHeight="1">
      <c r="B237" s="157"/>
      <c r="C237" s="157"/>
      <c r="D237" s="157"/>
      <c r="E237" s="157"/>
      <c r="F237" s="157"/>
      <c r="G237" s="157"/>
      <c r="H237" s="157"/>
      <c r="I237" s="157"/>
      <c r="J237" s="157"/>
      <c r="K237" s="157"/>
      <c r="L237" s="157"/>
      <c r="M237" s="157"/>
      <c r="N237" s="157"/>
      <c r="P237" s="157"/>
      <c r="Q237" s="157"/>
      <c r="S237" s="157"/>
      <c r="T237" s="157"/>
      <c r="U237" s="157"/>
      <c r="V237" s="157"/>
      <c r="W237" s="157"/>
      <c r="X237" s="157"/>
      <c r="Y237" s="157"/>
      <c r="Z237" s="157"/>
      <c r="AA237" s="157"/>
      <c r="AB237" s="157"/>
      <c r="AC237" s="157"/>
      <c r="AD237" s="157"/>
    </row>
  </sheetData>
  <mergeCells count="113">
    <mergeCell ref="X18:AB18"/>
    <mergeCell ref="B20:H20"/>
    <mergeCell ref="A1:R2"/>
    <mergeCell ref="A3:R3"/>
    <mergeCell ref="B6:O6"/>
    <mergeCell ref="B8:J8"/>
    <mergeCell ref="B9:I9"/>
    <mergeCell ref="X13:Y13"/>
    <mergeCell ref="B21:F21"/>
    <mergeCell ref="B22:F22"/>
    <mergeCell ref="B23:F23"/>
    <mergeCell ref="B24:F24"/>
    <mergeCell ref="I26:J26"/>
    <mergeCell ref="B28:G28"/>
    <mergeCell ref="I14:J14"/>
    <mergeCell ref="B15:H15"/>
    <mergeCell ref="B16:G16"/>
    <mergeCell ref="I18:J18"/>
    <mergeCell ref="I54:J54"/>
    <mergeCell ref="B55:F55"/>
    <mergeCell ref="B56:H56"/>
    <mergeCell ref="B57:F57"/>
    <mergeCell ref="B58:F58"/>
    <mergeCell ref="B59:F59"/>
    <mergeCell ref="I30:J30"/>
    <mergeCell ref="B46:H46"/>
    <mergeCell ref="B48:F48"/>
    <mergeCell ref="B49:F49"/>
    <mergeCell ref="I51:J51"/>
    <mergeCell ref="B52:G52"/>
    <mergeCell ref="B31:F31"/>
    <mergeCell ref="B32:F32"/>
    <mergeCell ref="B33:F33"/>
    <mergeCell ref="B34:F34"/>
    <mergeCell ref="I36:J36"/>
    <mergeCell ref="B38:G38"/>
    <mergeCell ref="I40:J40"/>
    <mergeCell ref="B67:H67"/>
    <mergeCell ref="B68:F68"/>
    <mergeCell ref="B69:F69"/>
    <mergeCell ref="B70:F70"/>
    <mergeCell ref="B71:F71"/>
    <mergeCell ref="I73:J73"/>
    <mergeCell ref="B80:F80"/>
    <mergeCell ref="I82:J82"/>
    <mergeCell ref="B60:F60"/>
    <mergeCell ref="B61:F61"/>
    <mergeCell ref="B62:F62"/>
    <mergeCell ref="B63:F63"/>
    <mergeCell ref="B64:F64"/>
    <mergeCell ref="B66:H66"/>
    <mergeCell ref="B130:O130"/>
    <mergeCell ref="B131:E131"/>
    <mergeCell ref="F131:H131"/>
    <mergeCell ref="L134:M134"/>
    <mergeCell ref="B136:O136"/>
    <mergeCell ref="B138:C138"/>
    <mergeCell ref="B110:E110"/>
    <mergeCell ref="K111:L111"/>
    <mergeCell ref="L112:M112"/>
    <mergeCell ref="B114:O114"/>
    <mergeCell ref="K121:L121"/>
    <mergeCell ref="L123:M123"/>
    <mergeCell ref="B117:E117"/>
    <mergeCell ref="B150:H150"/>
    <mergeCell ref="K152:L152"/>
    <mergeCell ref="L153:M153"/>
    <mergeCell ref="A155:A156"/>
    <mergeCell ref="B155:N156"/>
    <mergeCell ref="B158:H158"/>
    <mergeCell ref="K140:L140"/>
    <mergeCell ref="L141:M141"/>
    <mergeCell ref="B143:O143"/>
    <mergeCell ref="B144:H144"/>
    <mergeCell ref="L147:M147"/>
    <mergeCell ref="B149:O149"/>
    <mergeCell ref="K174:L174"/>
    <mergeCell ref="L175:M175"/>
    <mergeCell ref="N176:O176"/>
    <mergeCell ref="N177:O177"/>
    <mergeCell ref="A182:R183"/>
    <mergeCell ref="A187:R187"/>
    <mergeCell ref="K160:L160"/>
    <mergeCell ref="L161:M161"/>
    <mergeCell ref="B165:O165"/>
    <mergeCell ref="K167:L167"/>
    <mergeCell ref="L168:M168"/>
    <mergeCell ref="A171:A172"/>
    <mergeCell ref="B171:O172"/>
    <mergeCell ref="B109:E109"/>
    <mergeCell ref="B93:E93"/>
    <mergeCell ref="B94:E94"/>
    <mergeCell ref="B96:E96"/>
    <mergeCell ref="B97:E97"/>
    <mergeCell ref="K98:L98"/>
    <mergeCell ref="L99:M99"/>
    <mergeCell ref="B108:D108"/>
    <mergeCell ref="B75:H75"/>
    <mergeCell ref="B76:H76"/>
    <mergeCell ref="B77:F77"/>
    <mergeCell ref="B78:F78"/>
    <mergeCell ref="B79:F79"/>
    <mergeCell ref="B102:O102"/>
    <mergeCell ref="B103:J103"/>
    <mergeCell ref="B104:E104"/>
    <mergeCell ref="B105:J105"/>
    <mergeCell ref="B106:C106"/>
    <mergeCell ref="I83:L83"/>
    <mergeCell ref="B84:L84"/>
    <mergeCell ref="H85:L85"/>
    <mergeCell ref="L87:M87"/>
    <mergeCell ref="B91:O91"/>
    <mergeCell ref="B92:J92"/>
  </mergeCells>
  <pageMargins left="0.39" right="0.46" top="0.6" bottom="0.4" header="0.43" footer="0.4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AD243"/>
  <sheetViews>
    <sheetView view="pageBreakPreview" topLeftCell="A10" zoomScale="115" zoomScaleNormal="85" zoomScaleSheetLayoutView="115" workbookViewId="0">
      <selection activeCell="A193" sqref="A193:R193"/>
    </sheetView>
  </sheetViews>
  <sheetFormatPr defaultRowHeight="16.5"/>
  <cols>
    <col min="1" max="1" width="6.42578125" style="267"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85546875" style="157" customWidth="1"/>
    <col min="11" max="11" width="2.7109375" style="157" customWidth="1"/>
    <col min="12" max="12" width="7.28515625" style="157" customWidth="1"/>
    <col min="13" max="13" width="3.140625" style="157" customWidth="1"/>
    <col min="14" max="14" width="10"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15" customHeight="1">
      <c r="A1" s="1030" t="s">
        <v>426</v>
      </c>
      <c r="B1" s="1030"/>
      <c r="C1" s="1030"/>
      <c r="D1" s="1030"/>
      <c r="E1" s="1030"/>
      <c r="F1" s="1030"/>
      <c r="G1" s="1030"/>
      <c r="H1" s="1030"/>
      <c r="I1" s="1030"/>
      <c r="J1" s="1030"/>
      <c r="K1" s="1030"/>
      <c r="L1" s="1030"/>
      <c r="M1" s="1030"/>
      <c r="N1" s="1030"/>
      <c r="O1" s="1030"/>
      <c r="P1" s="1030"/>
      <c r="Q1" s="1030"/>
      <c r="R1" s="1030"/>
    </row>
    <row r="2" spans="1:30" ht="16.5" customHeight="1">
      <c r="A2" s="1030"/>
      <c r="B2" s="1030"/>
      <c r="C2" s="1030"/>
      <c r="D2" s="1030"/>
      <c r="E2" s="1030"/>
      <c r="F2" s="1030"/>
      <c r="G2" s="1030"/>
      <c r="H2" s="1030"/>
      <c r="I2" s="1030"/>
      <c r="J2" s="1030"/>
      <c r="K2" s="1030"/>
      <c r="L2" s="1030"/>
      <c r="M2" s="1030"/>
      <c r="N2" s="1030"/>
      <c r="O2" s="1030"/>
      <c r="P2" s="1030"/>
      <c r="Q2" s="1030"/>
      <c r="R2" s="1030"/>
    </row>
    <row r="3" spans="1:30" s="159" customFormat="1" ht="14.25" customHeight="1">
      <c r="A3" s="1031" t="s">
        <v>425</v>
      </c>
      <c r="B3" s="1031"/>
      <c r="C3" s="1031"/>
      <c r="D3" s="1031"/>
      <c r="E3" s="1031"/>
      <c r="F3" s="1031"/>
      <c r="G3" s="1031"/>
      <c r="H3" s="1031"/>
      <c r="I3" s="1031"/>
      <c r="J3" s="1031"/>
      <c r="K3" s="1031"/>
      <c r="L3" s="1031"/>
      <c r="M3" s="1031"/>
      <c r="N3" s="1031"/>
      <c r="O3" s="1031"/>
      <c r="P3" s="1031"/>
      <c r="Q3" s="1031"/>
      <c r="R3" s="1031"/>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298" t="s">
        <v>432</v>
      </c>
      <c r="B6" s="1032" t="s">
        <v>352</v>
      </c>
      <c r="C6" s="1032"/>
      <c r="D6" s="1032"/>
      <c r="E6" s="1032"/>
      <c r="F6" s="1032"/>
      <c r="G6" s="1032"/>
      <c r="H6" s="1032"/>
      <c r="I6" s="1032"/>
      <c r="J6" s="1032"/>
      <c r="K6" s="1032"/>
      <c r="L6" s="1032"/>
      <c r="M6" s="1032"/>
      <c r="N6" s="1032"/>
      <c r="O6" s="1032"/>
      <c r="P6" s="182"/>
      <c r="Q6" s="182"/>
      <c r="R6" s="263"/>
    </row>
    <row r="7" spans="1:30" ht="15" customHeight="1">
      <c r="A7" s="258"/>
      <c r="B7" s="300"/>
      <c r="C7" s="300"/>
      <c r="D7" s="300"/>
      <c r="E7" s="300"/>
      <c r="F7" s="300"/>
      <c r="G7" s="300"/>
      <c r="H7" s="300"/>
      <c r="I7" s="300"/>
      <c r="J7" s="300"/>
      <c r="K7" s="300"/>
      <c r="L7" s="300"/>
      <c r="M7" s="300"/>
      <c r="N7" s="300"/>
      <c r="O7" s="300"/>
      <c r="P7" s="182"/>
      <c r="Q7" s="182"/>
      <c r="R7" s="263"/>
    </row>
    <row r="8" spans="1:30" ht="15" customHeight="1">
      <c r="A8" s="258"/>
      <c r="B8" s="1033" t="s">
        <v>427</v>
      </c>
      <c r="C8" s="1033"/>
      <c r="D8" s="1033"/>
      <c r="E8" s="1033"/>
      <c r="F8" s="1033"/>
      <c r="G8" s="1033"/>
      <c r="H8" s="1033"/>
      <c r="I8" s="1033"/>
      <c r="J8" s="1033"/>
      <c r="K8" s="209"/>
      <c r="L8" s="209"/>
      <c r="M8" s="209"/>
      <c r="N8" s="209"/>
      <c r="O8" s="245"/>
      <c r="P8" s="182"/>
      <c r="Q8" s="182"/>
      <c r="R8" s="263"/>
    </row>
    <row r="9" spans="1:30" ht="13.5" customHeight="1">
      <c r="A9" s="258"/>
      <c r="B9" s="1033" t="s">
        <v>357</v>
      </c>
      <c r="C9" s="1033"/>
      <c r="D9" s="1033"/>
      <c r="E9" s="1033"/>
      <c r="F9" s="1033"/>
      <c r="G9" s="1033"/>
      <c r="H9" s="1033"/>
      <c r="I9" s="1033"/>
      <c r="J9" s="209"/>
      <c r="K9" s="209"/>
      <c r="L9" s="209"/>
      <c r="M9" s="209"/>
      <c r="N9" s="209"/>
      <c r="O9" s="245"/>
      <c r="P9" s="182"/>
      <c r="Q9" s="182"/>
      <c r="R9" s="263"/>
      <c r="X9" s="173"/>
      <c r="Y9" s="171"/>
      <c r="Z9" s="171"/>
      <c r="AA9" s="171"/>
      <c r="AB9" s="171"/>
      <c r="AC9" s="172"/>
      <c r="AD9" s="171"/>
    </row>
    <row r="10" spans="1:30" ht="13.5" customHeight="1">
      <c r="A10" s="258"/>
      <c r="B10" s="299"/>
      <c r="C10" s="299"/>
      <c r="D10" s="299"/>
      <c r="E10" s="299"/>
      <c r="F10" s="299"/>
      <c r="G10" s="299"/>
      <c r="H10" s="299"/>
      <c r="I10" s="299"/>
      <c r="J10" s="302"/>
      <c r="K10" s="302"/>
      <c r="L10" s="302"/>
      <c r="M10" s="302"/>
      <c r="N10" s="302"/>
      <c r="O10" s="298"/>
      <c r="P10" s="182"/>
      <c r="Q10" s="182"/>
      <c r="R10" s="263"/>
      <c r="X10" s="173"/>
      <c r="Y10" s="301"/>
      <c r="Z10" s="301"/>
      <c r="AA10" s="301"/>
      <c r="AB10" s="301"/>
      <c r="AC10" s="172"/>
      <c r="AD10" s="301"/>
    </row>
    <row r="11" spans="1:30" ht="14.25" customHeight="1">
      <c r="A11" s="262"/>
      <c r="B11" s="210" t="s">
        <v>370</v>
      </c>
      <c r="C11" s="210"/>
      <c r="D11" s="210"/>
      <c r="E11" s="210"/>
      <c r="F11" s="203"/>
      <c r="G11" s="183"/>
      <c r="H11" s="203"/>
      <c r="I11" s="183"/>
      <c r="J11" s="186"/>
      <c r="K11" s="190"/>
      <c r="L11" s="187"/>
      <c r="M11" s="190"/>
      <c r="N11" s="213"/>
      <c r="O11" s="262"/>
      <c r="P11" s="192"/>
      <c r="Q11" s="192"/>
      <c r="R11" s="262"/>
    </row>
    <row r="12" spans="1:30" ht="18.75" customHeight="1">
      <c r="A12" s="263"/>
      <c r="B12" s="211" t="s">
        <v>416</v>
      </c>
      <c r="C12" s="212"/>
      <c r="D12" s="185"/>
      <c r="E12" s="185"/>
      <c r="F12" s="183"/>
      <c r="G12" s="183"/>
      <c r="H12" s="203">
        <v>5</v>
      </c>
      <c r="I12" s="183" t="s">
        <v>1</v>
      </c>
      <c r="J12" s="203">
        <v>8</v>
      </c>
      <c r="K12" s="183" t="s">
        <v>1</v>
      </c>
      <c r="L12" s="186">
        <v>3</v>
      </c>
      <c r="M12" s="190" t="s">
        <v>0</v>
      </c>
      <c r="N12" s="213">
        <f>L12*J12*H12</f>
        <v>120</v>
      </c>
      <c r="O12" s="262" t="s">
        <v>13</v>
      </c>
      <c r="P12" s="182"/>
      <c r="Q12" s="182"/>
      <c r="R12" s="262"/>
    </row>
    <row r="13" spans="1:30" ht="13.5" customHeight="1">
      <c r="A13" s="263"/>
      <c r="B13" s="211"/>
      <c r="C13" s="212"/>
      <c r="D13" s="185"/>
      <c r="E13" s="185"/>
      <c r="F13" s="183"/>
      <c r="G13" s="183"/>
      <c r="H13" s="203"/>
      <c r="I13" s="183"/>
      <c r="J13" s="186"/>
      <c r="K13" s="184"/>
      <c r="L13" s="186" t="s">
        <v>8</v>
      </c>
      <c r="M13" s="190" t="s">
        <v>0</v>
      </c>
      <c r="N13" s="214">
        <f>SUM(N11:N12)</f>
        <v>120</v>
      </c>
      <c r="O13" s="280" t="s">
        <v>13</v>
      </c>
      <c r="P13" s="182"/>
      <c r="Q13" s="182"/>
      <c r="R13" s="262"/>
      <c r="X13" s="1034"/>
      <c r="Y13" s="1034"/>
      <c r="Z13" s="171"/>
      <c r="AA13" s="171"/>
      <c r="AB13" s="171"/>
      <c r="AC13" s="172"/>
      <c r="AD13" s="171"/>
    </row>
    <row r="14" spans="1:30" ht="15" customHeight="1">
      <c r="A14" s="262"/>
      <c r="B14" s="192"/>
      <c r="C14" s="192"/>
      <c r="D14" s="192"/>
      <c r="E14" s="185"/>
      <c r="F14" s="193" t="s">
        <v>350</v>
      </c>
      <c r="G14" s="194" t="s">
        <v>11</v>
      </c>
      <c r="H14" s="194">
        <v>1.58</v>
      </c>
      <c r="I14" s="1010" t="s">
        <v>353</v>
      </c>
      <c r="J14" s="1015"/>
      <c r="K14" s="185"/>
      <c r="L14" s="185"/>
      <c r="M14" s="184" t="s">
        <v>0</v>
      </c>
      <c r="N14" s="194">
        <f>H14*N13</f>
        <v>189.60000000000002</v>
      </c>
      <c r="O14" s="268" t="s">
        <v>100</v>
      </c>
      <c r="P14" s="185"/>
      <c r="Q14" s="185"/>
      <c r="R14" s="244"/>
      <c r="X14" s="173"/>
      <c r="Y14" s="171"/>
      <c r="Z14" s="171"/>
      <c r="AA14" s="171"/>
      <c r="AB14" s="171"/>
      <c r="AC14" s="172"/>
      <c r="AD14" s="171"/>
    </row>
    <row r="15" spans="1:30">
      <c r="A15" s="263"/>
      <c r="B15" s="1028" t="s">
        <v>417</v>
      </c>
      <c r="C15" s="1028"/>
      <c r="D15" s="1028"/>
      <c r="E15" s="1028"/>
      <c r="F15" s="1028"/>
      <c r="G15" s="1028"/>
      <c r="H15" s="1028"/>
      <c r="I15" s="217"/>
      <c r="J15" s="196"/>
      <c r="K15" s="185"/>
      <c r="L15" s="185"/>
      <c r="M15" s="184"/>
      <c r="N15" s="194"/>
      <c r="O15" s="268"/>
      <c r="P15" s="182"/>
      <c r="Q15" s="182"/>
      <c r="R15" s="262"/>
      <c r="U15" s="168"/>
      <c r="V15" s="168"/>
      <c r="W15" s="168"/>
      <c r="X15" s="173"/>
      <c r="Y15" s="171"/>
      <c r="Z15" s="171"/>
      <c r="AA15" s="171"/>
      <c r="AB15" s="171"/>
      <c r="AC15" s="172"/>
      <c r="AD15" s="171"/>
    </row>
    <row r="16" spans="1:30" ht="36" customHeight="1">
      <c r="A16" s="263"/>
      <c r="B16" s="1019" t="s">
        <v>385</v>
      </c>
      <c r="C16" s="1019"/>
      <c r="D16" s="1019"/>
      <c r="E16" s="1019"/>
      <c r="F16" s="1019"/>
      <c r="G16" s="1019"/>
      <c r="H16" s="203">
        <f>H12</f>
        <v>5</v>
      </c>
      <c r="I16" s="183" t="s">
        <v>1</v>
      </c>
      <c r="J16" s="203">
        <v>33</v>
      </c>
      <c r="K16" s="183" t="s">
        <v>1</v>
      </c>
      <c r="L16" s="186">
        <v>1.8</v>
      </c>
      <c r="M16" s="190" t="s">
        <v>0</v>
      </c>
      <c r="N16" s="213">
        <f t="shared" ref="N16" si="0">L16*J16*H16</f>
        <v>297</v>
      </c>
      <c r="O16" s="293" t="s">
        <v>13</v>
      </c>
      <c r="P16" s="182"/>
      <c r="Q16" s="182"/>
      <c r="R16" s="262"/>
      <c r="U16" s="168"/>
      <c r="V16" s="168"/>
      <c r="W16" s="168"/>
      <c r="X16" s="173"/>
      <c r="Y16" s="171"/>
      <c r="Z16" s="171"/>
      <c r="AA16" s="171"/>
      <c r="AB16" s="171"/>
      <c r="AC16" s="172"/>
      <c r="AD16" s="171"/>
    </row>
    <row r="17" spans="1:30">
      <c r="A17" s="263"/>
      <c r="B17" s="211"/>
      <c r="C17" s="212"/>
      <c r="D17" s="185"/>
      <c r="E17" s="185"/>
      <c r="F17" s="183"/>
      <c r="G17" s="183"/>
      <c r="H17" s="203"/>
      <c r="I17" s="183"/>
      <c r="J17" s="186"/>
      <c r="K17" s="184"/>
      <c r="L17" s="186" t="s">
        <v>8</v>
      </c>
      <c r="M17" s="190" t="s">
        <v>0</v>
      </c>
      <c r="N17" s="214">
        <f>SUM(N16:N16)</f>
        <v>297</v>
      </c>
      <c r="O17" s="280" t="s">
        <v>13</v>
      </c>
      <c r="P17" s="182"/>
      <c r="Q17" s="182"/>
      <c r="R17" s="262"/>
      <c r="U17" s="168"/>
      <c r="V17" s="168"/>
      <c r="W17" s="168"/>
      <c r="X17" s="172"/>
      <c r="Y17" s="171"/>
      <c r="Z17" s="171"/>
      <c r="AA17" s="171"/>
      <c r="AB17" s="174"/>
      <c r="AC17" s="172"/>
      <c r="AD17" s="171"/>
    </row>
    <row r="18" spans="1:30">
      <c r="A18" s="263"/>
      <c r="B18" s="192"/>
      <c r="C18" s="192"/>
      <c r="D18" s="192"/>
      <c r="E18" s="185"/>
      <c r="F18" s="193" t="s">
        <v>350</v>
      </c>
      <c r="G18" s="194" t="s">
        <v>11</v>
      </c>
      <c r="H18" s="194">
        <v>0.39</v>
      </c>
      <c r="I18" s="1010" t="s">
        <v>353</v>
      </c>
      <c r="J18" s="1015"/>
      <c r="K18" s="185"/>
      <c r="L18" s="185"/>
      <c r="M18" s="184" t="s">
        <v>0</v>
      </c>
      <c r="N18" s="194">
        <f>H18*N17</f>
        <v>115.83</v>
      </c>
      <c r="O18" s="268" t="s">
        <v>100</v>
      </c>
      <c r="P18" s="182"/>
      <c r="Q18" s="182"/>
      <c r="R18" s="262"/>
      <c r="U18" s="168"/>
      <c r="V18" s="168"/>
      <c r="W18" s="168"/>
      <c r="X18" s="1029"/>
      <c r="Y18" s="1029"/>
      <c r="Z18" s="1029"/>
      <c r="AA18" s="1029"/>
      <c r="AB18" s="1029"/>
      <c r="AC18" s="172"/>
      <c r="AD18" s="171"/>
    </row>
    <row r="19" spans="1:30">
      <c r="A19" s="263"/>
      <c r="B19" s="192"/>
      <c r="C19" s="192"/>
      <c r="D19" s="192"/>
      <c r="E19" s="185"/>
      <c r="F19" s="193"/>
      <c r="G19" s="195"/>
      <c r="H19" s="195"/>
      <c r="I19" s="217"/>
      <c r="J19" s="216"/>
      <c r="K19" s="185"/>
      <c r="L19" s="185"/>
      <c r="M19" s="184"/>
      <c r="N19" s="195"/>
      <c r="O19" s="268"/>
      <c r="P19" s="182"/>
      <c r="Q19" s="182"/>
      <c r="R19" s="262"/>
      <c r="U19" s="168"/>
      <c r="V19" s="168"/>
      <c r="W19" s="168"/>
      <c r="X19" s="175"/>
      <c r="Y19" s="175"/>
      <c r="Z19" s="175"/>
      <c r="AA19" s="175"/>
      <c r="AB19" s="175"/>
      <c r="AC19" s="172"/>
      <c r="AD19" s="175"/>
    </row>
    <row r="20" spans="1:30">
      <c r="A20" s="263"/>
      <c r="B20" s="1027" t="s">
        <v>386</v>
      </c>
      <c r="C20" s="1027"/>
      <c r="D20" s="1027"/>
      <c r="E20" s="1027"/>
      <c r="F20" s="1027"/>
      <c r="G20" s="1027"/>
      <c r="H20" s="1027"/>
      <c r="I20" s="217"/>
      <c r="J20" s="196"/>
      <c r="K20" s="185"/>
      <c r="L20" s="185"/>
      <c r="M20" s="184"/>
      <c r="N20" s="194"/>
      <c r="O20" s="268"/>
      <c r="P20" s="182"/>
      <c r="Q20" s="182"/>
      <c r="R20" s="262"/>
      <c r="U20" s="168"/>
      <c r="V20" s="168"/>
      <c r="W20" s="168"/>
      <c r="X20" s="172"/>
      <c r="Y20" s="171"/>
      <c r="Z20" s="171"/>
      <c r="AA20" s="171"/>
      <c r="AB20" s="174"/>
      <c r="AC20" s="172"/>
      <c r="AD20" s="176"/>
    </row>
    <row r="21" spans="1:30">
      <c r="A21" s="263"/>
      <c r="B21" s="1019" t="s">
        <v>384</v>
      </c>
      <c r="C21" s="1019"/>
      <c r="D21" s="1019"/>
      <c r="E21" s="1019"/>
      <c r="F21" s="1019"/>
      <c r="G21" s="194"/>
      <c r="H21" s="194"/>
      <c r="I21" s="217"/>
      <c r="J21" s="196"/>
      <c r="K21" s="185"/>
      <c r="L21" s="185"/>
      <c r="M21" s="184"/>
      <c r="N21" s="194"/>
      <c r="O21" s="268"/>
      <c r="P21" s="182"/>
      <c r="Q21" s="182"/>
      <c r="R21" s="262"/>
      <c r="X21" s="173"/>
      <c r="Y21" s="177"/>
      <c r="Z21" s="177"/>
      <c r="AA21" s="177"/>
      <c r="AB21" s="177"/>
      <c r="AC21" s="172"/>
      <c r="AD21" s="171"/>
    </row>
    <row r="22" spans="1:30">
      <c r="A22" s="263"/>
      <c r="B22" s="1019" t="s">
        <v>387</v>
      </c>
      <c r="C22" s="1019"/>
      <c r="D22" s="1019"/>
      <c r="E22" s="1019"/>
      <c r="F22" s="1019"/>
      <c r="G22" s="194"/>
      <c r="H22" s="203">
        <v>1</v>
      </c>
      <c r="I22" s="183" t="s">
        <v>1</v>
      </c>
      <c r="J22" s="203">
        <v>4</v>
      </c>
      <c r="K22" s="183" t="s">
        <v>1</v>
      </c>
      <c r="L22" s="186">
        <v>42</v>
      </c>
      <c r="M22" s="190" t="s">
        <v>0</v>
      </c>
      <c r="N22" s="213">
        <f t="shared" ref="N22" si="1">L22*J22*H22</f>
        <v>168</v>
      </c>
      <c r="O22" s="262" t="s">
        <v>13</v>
      </c>
      <c r="P22" s="182"/>
      <c r="Q22" s="182"/>
      <c r="R22" s="262"/>
      <c r="X22" s="173"/>
      <c r="Y22" s="177"/>
      <c r="Z22" s="177"/>
      <c r="AA22" s="177"/>
      <c r="AB22" s="177"/>
      <c r="AC22" s="172"/>
      <c r="AD22" s="171"/>
    </row>
    <row r="23" spans="1:30">
      <c r="A23" s="263"/>
      <c r="B23" s="1019" t="s">
        <v>388</v>
      </c>
      <c r="C23" s="1019"/>
      <c r="D23" s="1019"/>
      <c r="E23" s="1019"/>
      <c r="F23" s="1019"/>
      <c r="G23" s="194"/>
      <c r="H23" s="203">
        <v>1</v>
      </c>
      <c r="I23" s="183" t="s">
        <v>1</v>
      </c>
      <c r="J23" s="203">
        <v>2</v>
      </c>
      <c r="K23" s="183" t="s">
        <v>1</v>
      </c>
      <c r="L23" s="186">
        <f>L22</f>
        <v>42</v>
      </c>
      <c r="M23" s="190" t="s">
        <v>0</v>
      </c>
      <c r="N23" s="213">
        <f t="shared" ref="N23:N24" si="2">L23*J23*H23</f>
        <v>84</v>
      </c>
      <c r="O23" s="262" t="s">
        <v>13</v>
      </c>
      <c r="P23" s="182"/>
      <c r="Q23" s="182"/>
      <c r="R23" s="262"/>
      <c r="X23" s="173"/>
      <c r="Y23" s="177"/>
      <c r="Z23" s="177"/>
      <c r="AA23" s="177"/>
      <c r="AB23" s="177"/>
      <c r="AC23" s="172"/>
      <c r="AD23" s="171"/>
    </row>
    <row r="24" spans="1:30">
      <c r="A24" s="263"/>
      <c r="B24" s="1019" t="s">
        <v>389</v>
      </c>
      <c r="C24" s="1019"/>
      <c r="D24" s="1019"/>
      <c r="E24" s="1019"/>
      <c r="F24" s="1019"/>
      <c r="G24" s="194"/>
      <c r="H24" s="203">
        <v>1</v>
      </c>
      <c r="I24" s="183" t="s">
        <v>1</v>
      </c>
      <c r="J24" s="203">
        <v>2</v>
      </c>
      <c r="K24" s="183" t="s">
        <v>1</v>
      </c>
      <c r="L24" s="186">
        <f>L23</f>
        <v>42</v>
      </c>
      <c r="M24" s="190" t="s">
        <v>0</v>
      </c>
      <c r="N24" s="213">
        <f t="shared" si="2"/>
        <v>84</v>
      </c>
      <c r="O24" s="262" t="s">
        <v>13</v>
      </c>
      <c r="P24" s="182"/>
      <c r="Q24" s="182"/>
      <c r="R24" s="262"/>
      <c r="X24" s="173"/>
      <c r="Y24" s="177"/>
      <c r="Z24" s="177"/>
      <c r="AA24" s="177"/>
      <c r="AB24" s="177"/>
      <c r="AC24" s="172"/>
      <c r="AD24" s="171"/>
    </row>
    <row r="25" spans="1:30">
      <c r="A25" s="263"/>
      <c r="B25" s="211"/>
      <c r="C25" s="212"/>
      <c r="D25" s="185"/>
      <c r="E25" s="185"/>
      <c r="F25" s="183"/>
      <c r="G25" s="183"/>
      <c r="H25" s="203"/>
      <c r="I25" s="183"/>
      <c r="J25" s="186"/>
      <c r="K25" s="184"/>
      <c r="L25" s="186" t="s">
        <v>8</v>
      </c>
      <c r="M25" s="190" t="s">
        <v>0</v>
      </c>
      <c r="N25" s="214">
        <f>SUM(N22:N24)</f>
        <v>336</v>
      </c>
      <c r="O25" s="280" t="s">
        <v>13</v>
      </c>
      <c r="P25" s="182"/>
      <c r="Q25" s="182"/>
      <c r="R25" s="262"/>
      <c r="X25" s="173"/>
      <c r="Y25" s="177"/>
      <c r="Z25" s="177"/>
      <c r="AA25" s="177"/>
      <c r="AB25" s="177"/>
      <c r="AC25" s="172"/>
      <c r="AD25" s="171"/>
    </row>
    <row r="26" spans="1:30">
      <c r="A26" s="263"/>
      <c r="B26" s="192"/>
      <c r="C26" s="192"/>
      <c r="D26" s="192"/>
      <c r="E26" s="185"/>
      <c r="F26" s="193" t="s">
        <v>350</v>
      </c>
      <c r="G26" s="194" t="s">
        <v>11</v>
      </c>
      <c r="H26" s="194">
        <v>1.58</v>
      </c>
      <c r="I26" s="1010" t="s">
        <v>353</v>
      </c>
      <c r="J26" s="1015"/>
      <c r="K26" s="185"/>
      <c r="L26" s="185"/>
      <c r="M26" s="184" t="s">
        <v>0</v>
      </c>
      <c r="N26" s="194">
        <f>H26*N25</f>
        <v>530.88</v>
      </c>
      <c r="O26" s="268" t="s">
        <v>100</v>
      </c>
      <c r="P26" s="182"/>
      <c r="Q26" s="182"/>
      <c r="R26" s="262"/>
      <c r="X26" s="173"/>
      <c r="Y26" s="177"/>
      <c r="Z26" s="177"/>
      <c r="AA26" s="177"/>
      <c r="AB26" s="177"/>
      <c r="AC26" s="172"/>
      <c r="AD26" s="171"/>
    </row>
    <row r="27" spans="1:30">
      <c r="A27" s="263"/>
      <c r="B27" s="217"/>
      <c r="C27" s="217"/>
      <c r="D27" s="217"/>
      <c r="E27" s="217"/>
      <c r="F27" s="193"/>
      <c r="G27" s="194"/>
      <c r="H27" s="194"/>
      <c r="I27" s="217"/>
      <c r="J27" s="196"/>
      <c r="K27" s="185"/>
      <c r="L27" s="185"/>
      <c r="M27" s="184"/>
      <c r="N27" s="194"/>
      <c r="O27" s="268"/>
      <c r="P27" s="182"/>
      <c r="Q27" s="182"/>
      <c r="R27" s="262"/>
      <c r="X27" s="173"/>
      <c r="Y27" s="177"/>
      <c r="Z27" s="177"/>
      <c r="AA27" s="177"/>
      <c r="AB27" s="177"/>
      <c r="AC27" s="172"/>
      <c r="AD27" s="171"/>
    </row>
    <row r="28" spans="1:30" ht="33" customHeight="1">
      <c r="A28" s="263"/>
      <c r="B28" s="1019" t="s">
        <v>385</v>
      </c>
      <c r="C28" s="1019"/>
      <c r="D28" s="1019"/>
      <c r="E28" s="1019"/>
      <c r="F28" s="1019"/>
      <c r="G28" s="1019"/>
      <c r="H28" s="203">
        <v>1</v>
      </c>
      <c r="I28" s="183" t="s">
        <v>1</v>
      </c>
      <c r="J28" s="203">
        <f>L22/0.1</f>
        <v>420</v>
      </c>
      <c r="K28" s="183" t="s">
        <v>1</v>
      </c>
      <c r="L28" s="186">
        <v>1.5</v>
      </c>
      <c r="M28" s="190" t="s">
        <v>0</v>
      </c>
      <c r="N28" s="213">
        <f>L28*J28*H28</f>
        <v>630</v>
      </c>
      <c r="O28" s="262" t="s">
        <v>13</v>
      </c>
      <c r="P28" s="182"/>
      <c r="Q28" s="182"/>
      <c r="R28" s="262"/>
      <c r="X28" s="173"/>
      <c r="Y28" s="177"/>
      <c r="Z28" s="177"/>
      <c r="AA28" s="177"/>
      <c r="AB28" s="177"/>
      <c r="AC28" s="172"/>
      <c r="AD28" s="171"/>
    </row>
    <row r="29" spans="1:30">
      <c r="A29" s="263"/>
      <c r="B29" s="211"/>
      <c r="C29" s="212"/>
      <c r="D29" s="185"/>
      <c r="E29" s="185"/>
      <c r="F29" s="183"/>
      <c r="G29" s="183"/>
      <c r="H29" s="203"/>
      <c r="I29" s="183"/>
      <c r="J29" s="186"/>
      <c r="K29" s="184"/>
      <c r="L29" s="186" t="s">
        <v>8</v>
      </c>
      <c r="M29" s="190" t="s">
        <v>0</v>
      </c>
      <c r="N29" s="214">
        <f>SUM(N28)</f>
        <v>630</v>
      </c>
      <c r="O29" s="280" t="s">
        <v>13</v>
      </c>
      <c r="P29" s="182"/>
      <c r="Q29" s="182"/>
      <c r="R29" s="262"/>
      <c r="X29" s="173"/>
      <c r="Y29" s="177"/>
      <c r="Z29" s="177"/>
      <c r="AA29" s="177"/>
      <c r="AB29" s="177"/>
      <c r="AC29" s="172"/>
      <c r="AD29" s="171"/>
    </row>
    <row r="30" spans="1:30">
      <c r="A30" s="263"/>
      <c r="B30" s="192"/>
      <c r="C30" s="192"/>
      <c r="D30" s="192"/>
      <c r="E30" s="185"/>
      <c r="F30" s="193" t="s">
        <v>350</v>
      </c>
      <c r="G30" s="194" t="s">
        <v>11</v>
      </c>
      <c r="H30" s="194">
        <v>0.39</v>
      </c>
      <c r="I30" s="1010" t="s">
        <v>353</v>
      </c>
      <c r="J30" s="1015"/>
      <c r="K30" s="185"/>
      <c r="L30" s="185"/>
      <c r="M30" s="184" t="s">
        <v>0</v>
      </c>
      <c r="N30" s="194">
        <f>H30*N29</f>
        <v>245.70000000000002</v>
      </c>
      <c r="O30" s="268" t="s">
        <v>100</v>
      </c>
      <c r="P30" s="182"/>
      <c r="Q30" s="182"/>
      <c r="R30" s="262"/>
      <c r="X30" s="173"/>
      <c r="Y30" s="177"/>
      <c r="Z30" s="177"/>
      <c r="AA30" s="177"/>
      <c r="AB30" s="177"/>
      <c r="AC30" s="172"/>
      <c r="AD30" s="171"/>
    </row>
    <row r="31" spans="1:30">
      <c r="A31" s="244"/>
      <c r="B31" s="185"/>
      <c r="C31" s="185"/>
      <c r="D31" s="185"/>
      <c r="E31" s="185"/>
      <c r="F31" s="185"/>
      <c r="G31" s="185"/>
      <c r="H31" s="185"/>
      <c r="I31" s="185"/>
      <c r="J31" s="185"/>
      <c r="K31" s="185"/>
      <c r="L31" s="185"/>
      <c r="M31" s="185"/>
      <c r="N31" s="185"/>
      <c r="O31" s="244"/>
      <c r="P31" s="185"/>
      <c r="Q31" s="185"/>
      <c r="R31" s="244"/>
    </row>
    <row r="32" spans="1:30" hidden="1">
      <c r="A32" s="244"/>
      <c r="B32" s="185"/>
      <c r="C32" s="185"/>
      <c r="D32" s="185"/>
      <c r="E32" s="185"/>
      <c r="F32" s="185"/>
      <c r="G32" s="185"/>
      <c r="H32" s="185"/>
      <c r="I32" s="185"/>
      <c r="J32" s="185"/>
      <c r="K32" s="185"/>
      <c r="L32" s="185"/>
      <c r="M32" s="185"/>
      <c r="N32" s="185"/>
      <c r="O32" s="244"/>
      <c r="P32" s="185"/>
      <c r="Q32" s="185"/>
      <c r="R32" s="244"/>
    </row>
    <row r="33" spans="1:30">
      <c r="A33" s="263"/>
      <c r="B33" s="1027" t="s">
        <v>390</v>
      </c>
      <c r="C33" s="1027"/>
      <c r="D33" s="1027"/>
      <c r="E33" s="1027"/>
      <c r="F33" s="1027"/>
      <c r="G33" s="1027"/>
      <c r="H33" s="1027"/>
      <c r="I33" s="217"/>
      <c r="J33" s="196"/>
      <c r="K33" s="185"/>
      <c r="L33" s="185"/>
      <c r="M33" s="184"/>
      <c r="N33" s="194"/>
      <c r="O33" s="268"/>
      <c r="P33" s="182"/>
      <c r="Q33" s="182"/>
      <c r="R33" s="262"/>
      <c r="X33" s="173"/>
      <c r="Y33" s="177"/>
      <c r="Z33" s="177"/>
      <c r="AA33" s="177"/>
      <c r="AB33" s="177"/>
      <c r="AC33" s="172"/>
      <c r="AD33" s="171"/>
    </row>
    <row r="34" spans="1:30">
      <c r="A34" s="263"/>
      <c r="B34" s="218" t="s">
        <v>384</v>
      </c>
      <c r="C34" s="217"/>
      <c r="D34" s="217"/>
      <c r="E34" s="217"/>
      <c r="F34" s="193"/>
      <c r="G34" s="194"/>
      <c r="H34" s="194"/>
      <c r="I34" s="217"/>
      <c r="J34" s="196"/>
      <c r="K34" s="185"/>
      <c r="L34" s="185"/>
      <c r="M34" s="184"/>
      <c r="N34" s="194"/>
      <c r="O34" s="268"/>
      <c r="P34" s="182"/>
      <c r="Q34" s="182"/>
      <c r="R34" s="262"/>
      <c r="X34" s="173"/>
      <c r="Y34" s="177"/>
      <c r="Z34" s="177"/>
      <c r="AA34" s="177"/>
      <c r="AB34" s="177"/>
      <c r="AC34" s="172"/>
      <c r="AD34" s="171"/>
    </row>
    <row r="35" spans="1:30">
      <c r="A35" s="263"/>
      <c r="B35" s="1019" t="s">
        <v>387</v>
      </c>
      <c r="C35" s="1019"/>
      <c r="D35" s="1019"/>
      <c r="E35" s="1019"/>
      <c r="F35" s="1019"/>
      <c r="G35" s="194"/>
      <c r="H35" s="203">
        <v>4</v>
      </c>
      <c r="I35" s="183" t="s">
        <v>1</v>
      </c>
      <c r="J35" s="203">
        <v>4</v>
      </c>
      <c r="K35" s="183" t="s">
        <v>1</v>
      </c>
      <c r="L35" s="186">
        <v>1.9</v>
      </c>
      <c r="M35" s="190" t="s">
        <v>0</v>
      </c>
      <c r="N35" s="213">
        <f t="shared" ref="N35:N36" si="3">L35*J35*H35</f>
        <v>30.4</v>
      </c>
      <c r="O35" s="262" t="s">
        <v>13</v>
      </c>
      <c r="P35" s="182"/>
      <c r="Q35" s="182"/>
      <c r="R35" s="262"/>
      <c r="X35" s="173"/>
      <c r="Y35" s="177"/>
      <c r="Z35" s="177"/>
      <c r="AA35" s="177"/>
      <c r="AB35" s="177"/>
      <c r="AC35" s="172"/>
      <c r="AD35" s="171"/>
    </row>
    <row r="36" spans="1:30">
      <c r="A36" s="263"/>
      <c r="B36" s="1019" t="s">
        <v>388</v>
      </c>
      <c r="C36" s="1019"/>
      <c r="D36" s="1019"/>
      <c r="E36" s="1019"/>
      <c r="F36" s="1019"/>
      <c r="G36" s="194"/>
      <c r="H36" s="203">
        <v>4</v>
      </c>
      <c r="I36" s="183" t="s">
        <v>1</v>
      </c>
      <c r="J36" s="203">
        <v>2</v>
      </c>
      <c r="K36" s="183" t="s">
        <v>1</v>
      </c>
      <c r="L36" s="186">
        <f>L35</f>
        <v>1.9</v>
      </c>
      <c r="M36" s="190" t="s">
        <v>0</v>
      </c>
      <c r="N36" s="213">
        <f t="shared" si="3"/>
        <v>15.2</v>
      </c>
      <c r="O36" s="262" t="s">
        <v>13</v>
      </c>
      <c r="P36" s="182"/>
      <c r="Q36" s="182"/>
      <c r="R36" s="262"/>
      <c r="X36" s="173"/>
      <c r="Y36" s="177"/>
      <c r="Z36" s="177"/>
      <c r="AA36" s="177"/>
      <c r="AB36" s="177"/>
      <c r="AC36" s="172"/>
      <c r="AD36" s="171"/>
    </row>
    <row r="37" spans="1:30">
      <c r="A37" s="263"/>
      <c r="B37" s="211"/>
      <c r="C37" s="212"/>
      <c r="D37" s="185"/>
      <c r="E37" s="185"/>
      <c r="F37" s="183"/>
      <c r="G37" s="183"/>
      <c r="H37" s="203"/>
      <c r="I37" s="183"/>
      <c r="J37" s="186"/>
      <c r="K37" s="184"/>
      <c r="L37" s="186" t="s">
        <v>8</v>
      </c>
      <c r="M37" s="190" t="s">
        <v>0</v>
      </c>
      <c r="N37" s="214">
        <f>SUM(N35:N36)</f>
        <v>45.599999999999994</v>
      </c>
      <c r="O37" s="280" t="s">
        <v>13</v>
      </c>
      <c r="P37" s="182"/>
      <c r="Q37" s="182"/>
      <c r="R37" s="262"/>
      <c r="X37" s="173"/>
      <c r="Y37" s="177"/>
      <c r="Z37" s="177"/>
      <c r="AA37" s="177"/>
      <c r="AB37" s="177"/>
      <c r="AC37" s="172"/>
      <c r="AD37" s="171"/>
    </row>
    <row r="38" spans="1:30">
      <c r="A38" s="263"/>
      <c r="B38" s="192"/>
      <c r="C38" s="192"/>
      <c r="D38" s="192"/>
      <c r="E38" s="185"/>
      <c r="F38" s="193" t="s">
        <v>350</v>
      </c>
      <c r="G38" s="194" t="s">
        <v>11</v>
      </c>
      <c r="H38" s="194">
        <v>1.58</v>
      </c>
      <c r="I38" s="1010" t="s">
        <v>353</v>
      </c>
      <c r="J38" s="1015"/>
      <c r="K38" s="185"/>
      <c r="L38" s="185"/>
      <c r="M38" s="184" t="s">
        <v>0</v>
      </c>
      <c r="N38" s="194">
        <f>H38*N37</f>
        <v>72.047999999999988</v>
      </c>
      <c r="O38" s="268" t="s">
        <v>100</v>
      </c>
      <c r="P38" s="182"/>
      <c r="Q38" s="182"/>
      <c r="R38" s="262"/>
      <c r="X38" s="173"/>
      <c r="Y38" s="177"/>
      <c r="Z38" s="177"/>
      <c r="AA38" s="177"/>
      <c r="AB38" s="177"/>
      <c r="AC38" s="172"/>
      <c r="AD38" s="171"/>
    </row>
    <row r="39" spans="1:30">
      <c r="A39" s="263"/>
      <c r="B39" s="217"/>
      <c r="C39" s="217"/>
      <c r="D39" s="217"/>
      <c r="E39" s="217"/>
      <c r="F39" s="193"/>
      <c r="G39" s="194"/>
      <c r="H39" s="194"/>
      <c r="I39" s="217"/>
      <c r="J39" s="196"/>
      <c r="K39" s="185"/>
      <c r="L39" s="185"/>
      <c r="M39" s="184"/>
      <c r="N39" s="194"/>
      <c r="O39" s="268"/>
      <c r="P39" s="182"/>
      <c r="Q39" s="182"/>
      <c r="R39" s="262"/>
      <c r="X39" s="173"/>
      <c r="Y39" s="177"/>
      <c r="Z39" s="177"/>
      <c r="AA39" s="177"/>
      <c r="AB39" s="177"/>
      <c r="AC39" s="172"/>
      <c r="AD39" s="171"/>
    </row>
    <row r="40" spans="1:30" ht="34.5" customHeight="1">
      <c r="A40" s="263"/>
      <c r="B40" s="1019" t="s">
        <v>385</v>
      </c>
      <c r="C40" s="1019"/>
      <c r="D40" s="1019"/>
      <c r="E40" s="1019"/>
      <c r="F40" s="1019"/>
      <c r="G40" s="1019"/>
      <c r="H40" s="203">
        <v>1</v>
      </c>
      <c r="I40" s="183" t="s">
        <v>1</v>
      </c>
      <c r="J40" s="203">
        <f>L35/0.1</f>
        <v>18.999999999999996</v>
      </c>
      <c r="K40" s="183" t="s">
        <v>1</v>
      </c>
      <c r="L40" s="186">
        <v>1.5</v>
      </c>
      <c r="M40" s="190" t="s">
        <v>0</v>
      </c>
      <c r="N40" s="213">
        <f>L40*J40*H40</f>
        <v>28.499999999999993</v>
      </c>
      <c r="O40" s="262" t="s">
        <v>13</v>
      </c>
      <c r="P40" s="182"/>
      <c r="Q40" s="182"/>
      <c r="R40" s="262"/>
      <c r="X40" s="173"/>
      <c r="Y40" s="177"/>
      <c r="Z40" s="177"/>
      <c r="AA40" s="177"/>
      <c r="AB40" s="177"/>
      <c r="AC40" s="172"/>
      <c r="AD40" s="171"/>
    </row>
    <row r="41" spans="1:30">
      <c r="A41" s="263"/>
      <c r="B41" s="211"/>
      <c r="C41" s="212"/>
      <c r="D41" s="185"/>
      <c r="E41" s="185"/>
      <c r="F41" s="183"/>
      <c r="G41" s="183"/>
      <c r="H41" s="203"/>
      <c r="I41" s="183"/>
      <c r="J41" s="186"/>
      <c r="K41" s="184"/>
      <c r="L41" s="186" t="s">
        <v>8</v>
      </c>
      <c r="M41" s="190" t="s">
        <v>0</v>
      </c>
      <c r="N41" s="214">
        <f>SUM(N40)</f>
        <v>28.499999999999993</v>
      </c>
      <c r="O41" s="280" t="s">
        <v>13</v>
      </c>
      <c r="P41" s="182"/>
      <c r="Q41" s="182"/>
      <c r="R41" s="262"/>
      <c r="X41" s="173"/>
      <c r="Y41" s="177"/>
      <c r="Z41" s="177"/>
      <c r="AA41" s="177"/>
      <c r="AB41" s="177"/>
      <c r="AC41" s="172"/>
      <c r="AD41" s="171"/>
    </row>
    <row r="42" spans="1:30">
      <c r="A42" s="263"/>
      <c r="B42" s="192"/>
      <c r="C42" s="192"/>
      <c r="D42" s="192"/>
      <c r="E42" s="185"/>
      <c r="F42" s="193" t="s">
        <v>350</v>
      </c>
      <c r="G42" s="194" t="s">
        <v>11</v>
      </c>
      <c r="H42" s="194">
        <v>0.39</v>
      </c>
      <c r="I42" s="1010" t="s">
        <v>353</v>
      </c>
      <c r="J42" s="1015"/>
      <c r="K42" s="185"/>
      <c r="L42" s="185"/>
      <c r="M42" s="184" t="s">
        <v>0</v>
      </c>
      <c r="N42" s="194">
        <f>H42*N41</f>
        <v>11.114999999999998</v>
      </c>
      <c r="O42" s="268" t="s">
        <v>100</v>
      </c>
      <c r="P42" s="182"/>
      <c r="Q42" s="182"/>
      <c r="R42" s="262"/>
      <c r="X42" s="173"/>
      <c r="Y42" s="177"/>
      <c r="Z42" s="177"/>
      <c r="AA42" s="177"/>
      <c r="AB42" s="177"/>
      <c r="AC42" s="172"/>
      <c r="AD42" s="171"/>
    </row>
    <row r="43" spans="1:30">
      <c r="A43" s="263"/>
      <c r="B43" s="192"/>
      <c r="C43" s="192"/>
      <c r="D43" s="192"/>
      <c r="E43" s="185"/>
      <c r="F43" s="193"/>
      <c r="G43" s="292"/>
      <c r="H43" s="292"/>
      <c r="I43" s="289"/>
      <c r="J43" s="290"/>
      <c r="K43" s="185"/>
      <c r="L43" s="185"/>
      <c r="M43" s="184"/>
      <c r="N43" s="292"/>
      <c r="O43" s="268"/>
      <c r="P43" s="182"/>
      <c r="Q43" s="182"/>
      <c r="R43" s="294"/>
      <c r="X43" s="173"/>
      <c r="Y43" s="177"/>
      <c r="Z43" s="177"/>
      <c r="AA43" s="177"/>
      <c r="AB43" s="177"/>
      <c r="AC43" s="172"/>
      <c r="AD43" s="301"/>
    </row>
    <row r="44" spans="1:30">
      <c r="A44" s="263"/>
      <c r="B44" s="192"/>
      <c r="C44" s="192"/>
      <c r="D44" s="192"/>
      <c r="E44" s="185"/>
      <c r="F44" s="193"/>
      <c r="G44" s="292"/>
      <c r="H44" s="292"/>
      <c r="I44" s="289"/>
      <c r="J44" s="290"/>
      <c r="K44" s="185"/>
      <c r="L44" s="185"/>
      <c r="M44" s="184"/>
      <c r="N44" s="292"/>
      <c r="O44" s="281" t="s">
        <v>24</v>
      </c>
      <c r="P44" s="251" t="s">
        <v>0</v>
      </c>
      <c r="Q44" s="252" t="s">
        <v>11</v>
      </c>
      <c r="R44" s="272">
        <f>SUM(R7:R43)</f>
        <v>0</v>
      </c>
      <c r="X44" s="173"/>
      <c r="Y44" s="177"/>
      <c r="Z44" s="177"/>
      <c r="AA44" s="177"/>
      <c r="AB44" s="177"/>
      <c r="AC44" s="172"/>
      <c r="AD44" s="301"/>
    </row>
    <row r="45" spans="1:30">
      <c r="A45" s="263"/>
      <c r="B45" s="192"/>
      <c r="C45" s="192"/>
      <c r="D45" s="192"/>
      <c r="E45" s="185"/>
      <c r="F45" s="193"/>
      <c r="G45" s="194"/>
      <c r="H45" s="194"/>
      <c r="I45" s="217"/>
      <c r="J45" s="196"/>
      <c r="K45" s="185"/>
      <c r="L45" s="185"/>
      <c r="M45" s="184"/>
      <c r="N45" s="194"/>
      <c r="O45" s="281" t="s">
        <v>25</v>
      </c>
      <c r="P45" s="251" t="s">
        <v>0</v>
      </c>
      <c r="Q45" s="252" t="s">
        <v>11</v>
      </c>
      <c r="R45" s="272">
        <f>R44*1</f>
        <v>0</v>
      </c>
      <c r="X45" s="173"/>
      <c r="Y45" s="177"/>
      <c r="Z45" s="177"/>
      <c r="AA45" s="177"/>
      <c r="AB45" s="177"/>
      <c r="AC45" s="172"/>
      <c r="AD45" s="171"/>
    </row>
    <row r="46" spans="1:30">
      <c r="A46" s="263"/>
      <c r="B46" s="192"/>
      <c r="C46" s="192"/>
      <c r="D46" s="192"/>
      <c r="E46" s="185"/>
      <c r="F46" s="193"/>
      <c r="G46" s="292"/>
      <c r="H46" s="292"/>
      <c r="I46" s="289"/>
      <c r="J46" s="290"/>
      <c r="K46" s="185"/>
      <c r="L46" s="185"/>
      <c r="M46" s="184"/>
      <c r="N46" s="292"/>
      <c r="O46" s="279"/>
      <c r="P46" s="207"/>
      <c r="Q46" s="208"/>
      <c r="R46" s="270"/>
      <c r="X46" s="173"/>
      <c r="Y46" s="177"/>
      <c r="Z46" s="177"/>
      <c r="AA46" s="177"/>
      <c r="AB46" s="177"/>
      <c r="AC46" s="172"/>
      <c r="AD46" s="301"/>
    </row>
    <row r="47" spans="1:30">
      <c r="A47" s="263"/>
      <c r="B47" s="1023" t="s">
        <v>391</v>
      </c>
      <c r="C47" s="1023"/>
      <c r="D47" s="1023"/>
      <c r="E47" s="1023"/>
      <c r="F47" s="1023"/>
      <c r="G47" s="194"/>
      <c r="H47" s="194"/>
      <c r="I47" s="217"/>
      <c r="J47" s="196"/>
      <c r="K47" s="185"/>
      <c r="L47" s="185"/>
      <c r="M47" s="184"/>
      <c r="N47" s="194"/>
      <c r="O47" s="157"/>
      <c r="R47" s="157"/>
      <c r="X47" s="173"/>
      <c r="Y47" s="177"/>
      <c r="Z47" s="177"/>
      <c r="AA47" s="177"/>
      <c r="AB47" s="177"/>
      <c r="AC47" s="172"/>
      <c r="AD47" s="171"/>
    </row>
    <row r="48" spans="1:30">
      <c r="A48" s="263"/>
      <c r="B48" s="1025" t="s">
        <v>422</v>
      </c>
      <c r="C48" s="1025"/>
      <c r="D48" s="1025"/>
      <c r="E48" s="1025"/>
      <c r="F48" s="1025"/>
      <c r="G48" s="1025"/>
      <c r="H48" s="1025"/>
      <c r="I48" s="217"/>
      <c r="J48" s="196"/>
      <c r="K48" s="185"/>
      <c r="L48" s="185"/>
      <c r="M48" s="184"/>
      <c r="N48" s="194"/>
      <c r="O48" s="268"/>
      <c r="P48" s="182"/>
      <c r="Q48" s="182"/>
      <c r="R48" s="262"/>
      <c r="X48" s="173"/>
      <c r="Y48" s="177"/>
      <c r="Z48" s="177"/>
      <c r="AA48" s="177"/>
      <c r="AB48" s="177"/>
      <c r="AC48" s="172"/>
      <c r="AD48" s="171"/>
    </row>
    <row r="49" spans="1:30">
      <c r="A49" s="263"/>
      <c r="B49" s="1017" t="s">
        <v>392</v>
      </c>
      <c r="C49" s="1017"/>
      <c r="D49" s="1017"/>
      <c r="E49" s="1017"/>
      <c r="F49" s="1017"/>
      <c r="G49" s="194"/>
      <c r="H49" s="203">
        <v>1</v>
      </c>
      <c r="I49" s="183" t="s">
        <v>1</v>
      </c>
      <c r="J49" s="203">
        <v>16</v>
      </c>
      <c r="K49" s="183" t="s">
        <v>1</v>
      </c>
      <c r="L49" s="186">
        <v>12</v>
      </c>
      <c r="M49" s="190" t="s">
        <v>0</v>
      </c>
      <c r="N49" s="213">
        <f t="shared" ref="N49" si="4">L49*J49*H49</f>
        <v>192</v>
      </c>
      <c r="O49" s="262" t="s">
        <v>13</v>
      </c>
      <c r="P49" s="182"/>
      <c r="Q49" s="182"/>
      <c r="R49" s="262"/>
      <c r="X49" s="173"/>
      <c r="Y49" s="177"/>
      <c r="Z49" s="177"/>
      <c r="AA49" s="177"/>
      <c r="AB49" s="177"/>
      <c r="AC49" s="172"/>
      <c r="AD49" s="171"/>
    </row>
    <row r="50" spans="1:30" ht="15" customHeight="1">
      <c r="A50" s="263"/>
      <c r="B50" s="1017" t="s">
        <v>393</v>
      </c>
      <c r="C50" s="1017"/>
      <c r="D50" s="1017"/>
      <c r="E50" s="1017"/>
      <c r="F50" s="1017"/>
      <c r="G50" s="194"/>
      <c r="H50" s="203">
        <v>1</v>
      </c>
      <c r="I50" s="183" t="s">
        <v>1</v>
      </c>
      <c r="J50" s="203">
        <v>14</v>
      </c>
      <c r="K50" s="183" t="s">
        <v>1</v>
      </c>
      <c r="L50" s="186">
        <v>11</v>
      </c>
      <c r="M50" s="190" t="s">
        <v>0</v>
      </c>
      <c r="N50" s="213">
        <f t="shared" ref="N50:N56" si="5">L50*J50*H50</f>
        <v>154</v>
      </c>
      <c r="O50" s="262" t="s">
        <v>13</v>
      </c>
      <c r="P50" s="182"/>
      <c r="Q50" s="182"/>
      <c r="R50" s="262"/>
      <c r="X50" s="173"/>
      <c r="Y50" s="177"/>
      <c r="Z50" s="177"/>
      <c r="AA50" s="177"/>
      <c r="AB50" s="177"/>
      <c r="AC50" s="172"/>
      <c r="AD50" s="171"/>
    </row>
    <row r="51" spans="1:30" ht="15" customHeight="1">
      <c r="A51" s="263"/>
      <c r="B51" s="1017" t="s">
        <v>394</v>
      </c>
      <c r="C51" s="1017"/>
      <c r="D51" s="1017"/>
      <c r="E51" s="1017"/>
      <c r="F51" s="1017"/>
      <c r="G51" s="194"/>
      <c r="H51" s="203">
        <v>1</v>
      </c>
      <c r="I51" s="183" t="s">
        <v>1</v>
      </c>
      <c r="J51" s="203">
        <v>16</v>
      </c>
      <c r="K51" s="183" t="s">
        <v>1</v>
      </c>
      <c r="L51" s="186">
        <f>L49</f>
        <v>12</v>
      </c>
      <c r="M51" s="190" t="s">
        <v>0</v>
      </c>
      <c r="N51" s="213">
        <f t="shared" si="5"/>
        <v>192</v>
      </c>
      <c r="O51" s="262" t="s">
        <v>13</v>
      </c>
      <c r="P51" s="182"/>
      <c r="Q51" s="182"/>
      <c r="R51" s="262"/>
      <c r="X51" s="173"/>
      <c r="Y51" s="177"/>
      <c r="Z51" s="177"/>
      <c r="AA51" s="177"/>
      <c r="AB51" s="177"/>
      <c r="AC51" s="172"/>
      <c r="AD51" s="171"/>
    </row>
    <row r="52" spans="1:30" ht="15" customHeight="1">
      <c r="A52" s="263"/>
      <c r="B52" s="1017" t="s">
        <v>393</v>
      </c>
      <c r="C52" s="1017"/>
      <c r="D52" s="1017"/>
      <c r="E52" s="1017"/>
      <c r="F52" s="1017"/>
      <c r="G52" s="194"/>
      <c r="H52" s="203">
        <v>1</v>
      </c>
      <c r="I52" s="183" t="s">
        <v>1</v>
      </c>
      <c r="J52" s="203">
        <v>14</v>
      </c>
      <c r="K52" s="183" t="s">
        <v>1</v>
      </c>
      <c r="L52" s="186">
        <f>L50</f>
        <v>11</v>
      </c>
      <c r="M52" s="190" t="s">
        <v>0</v>
      </c>
      <c r="N52" s="213">
        <f t="shared" si="5"/>
        <v>154</v>
      </c>
      <c r="O52" s="262" t="s">
        <v>13</v>
      </c>
      <c r="P52" s="182"/>
      <c r="Q52" s="182"/>
      <c r="R52" s="262"/>
      <c r="X52" s="173"/>
      <c r="Y52" s="177"/>
      <c r="Z52" s="177"/>
      <c r="AA52" s="177"/>
      <c r="AB52" s="177"/>
      <c r="AC52" s="172"/>
      <c r="AD52" s="171"/>
    </row>
    <row r="53" spans="1:30" ht="15" customHeight="1">
      <c r="A53" s="263"/>
      <c r="B53" s="1017" t="s">
        <v>395</v>
      </c>
      <c r="C53" s="1017"/>
      <c r="D53" s="1017"/>
      <c r="E53" s="1017"/>
      <c r="F53" s="1017"/>
      <c r="G53" s="194"/>
      <c r="H53" s="203">
        <v>1</v>
      </c>
      <c r="I53" s="183" t="s">
        <v>1</v>
      </c>
      <c r="J53" s="203">
        <v>16</v>
      </c>
      <c r="K53" s="183" t="s">
        <v>1</v>
      </c>
      <c r="L53" s="186">
        <f>L49</f>
        <v>12</v>
      </c>
      <c r="M53" s="190" t="s">
        <v>0</v>
      </c>
      <c r="N53" s="213">
        <f t="shared" si="5"/>
        <v>192</v>
      </c>
      <c r="O53" s="262" t="s">
        <v>13</v>
      </c>
      <c r="P53" s="182"/>
      <c r="Q53" s="182"/>
      <c r="R53" s="262"/>
      <c r="X53" s="173"/>
      <c r="Y53" s="177"/>
      <c r="Z53" s="177"/>
      <c r="AA53" s="177"/>
      <c r="AB53" s="177"/>
      <c r="AC53" s="172"/>
      <c r="AD53" s="171"/>
    </row>
    <row r="54" spans="1:30" ht="15" customHeight="1">
      <c r="A54" s="263"/>
      <c r="B54" s="1017" t="s">
        <v>393</v>
      </c>
      <c r="C54" s="1017"/>
      <c r="D54" s="1017"/>
      <c r="E54" s="1017"/>
      <c r="F54" s="1017"/>
      <c r="G54" s="194"/>
      <c r="H54" s="203">
        <v>1</v>
      </c>
      <c r="I54" s="183" t="s">
        <v>1</v>
      </c>
      <c r="J54" s="203">
        <v>14</v>
      </c>
      <c r="K54" s="183" t="s">
        <v>1</v>
      </c>
      <c r="L54" s="186">
        <f>L50</f>
        <v>11</v>
      </c>
      <c r="M54" s="190" t="s">
        <v>0</v>
      </c>
      <c r="N54" s="213">
        <f t="shared" si="5"/>
        <v>154</v>
      </c>
      <c r="O54" s="262" t="s">
        <v>13</v>
      </c>
      <c r="P54" s="182"/>
      <c r="Q54" s="182"/>
      <c r="R54" s="262"/>
      <c r="X54" s="173"/>
      <c r="Y54" s="177"/>
      <c r="Z54" s="177"/>
      <c r="AA54" s="177"/>
      <c r="AB54" s="177"/>
      <c r="AC54" s="172"/>
      <c r="AD54" s="171"/>
    </row>
    <row r="55" spans="1:30" ht="15" customHeight="1">
      <c r="A55" s="263"/>
      <c r="B55" s="1017" t="s">
        <v>396</v>
      </c>
      <c r="C55" s="1017"/>
      <c r="D55" s="1017"/>
      <c r="E55" s="1017"/>
      <c r="F55" s="1017"/>
      <c r="G55" s="194"/>
      <c r="H55" s="203">
        <v>1</v>
      </c>
      <c r="I55" s="183" t="s">
        <v>1</v>
      </c>
      <c r="J55" s="203">
        <v>16</v>
      </c>
      <c r="K55" s="183" t="s">
        <v>1</v>
      </c>
      <c r="L55" s="186">
        <f>L49</f>
        <v>12</v>
      </c>
      <c r="M55" s="190" t="s">
        <v>0</v>
      </c>
      <c r="N55" s="213">
        <f t="shared" si="5"/>
        <v>192</v>
      </c>
      <c r="O55" s="262" t="s">
        <v>13</v>
      </c>
      <c r="P55" s="182"/>
      <c r="Q55" s="182"/>
      <c r="R55" s="262"/>
      <c r="X55" s="173"/>
      <c r="Y55" s="177"/>
      <c r="Z55" s="177"/>
      <c r="AA55" s="177"/>
      <c r="AB55" s="177"/>
      <c r="AC55" s="172"/>
      <c r="AD55" s="171"/>
    </row>
    <row r="56" spans="1:30" ht="15" customHeight="1">
      <c r="A56" s="263"/>
      <c r="B56" s="1017" t="s">
        <v>393</v>
      </c>
      <c r="C56" s="1017"/>
      <c r="D56" s="1017"/>
      <c r="E56" s="1017"/>
      <c r="F56" s="1017"/>
      <c r="G56" s="194"/>
      <c r="H56" s="203">
        <v>1</v>
      </c>
      <c r="I56" s="183" t="s">
        <v>1</v>
      </c>
      <c r="J56" s="203">
        <v>14</v>
      </c>
      <c r="K56" s="183" t="s">
        <v>1</v>
      </c>
      <c r="L56" s="186">
        <f>L50</f>
        <v>11</v>
      </c>
      <c r="M56" s="190" t="s">
        <v>0</v>
      </c>
      <c r="N56" s="213">
        <f t="shared" si="5"/>
        <v>154</v>
      </c>
      <c r="O56" s="262" t="s">
        <v>13</v>
      </c>
      <c r="P56" s="182"/>
      <c r="Q56" s="182"/>
      <c r="R56" s="262"/>
      <c r="X56" s="173"/>
      <c r="Y56" s="177"/>
      <c r="Z56" s="177"/>
      <c r="AA56" s="177"/>
      <c r="AB56" s="177"/>
      <c r="AC56" s="172"/>
      <c r="AD56" s="171"/>
    </row>
    <row r="57" spans="1:30" ht="15" customHeight="1">
      <c r="A57" s="263"/>
      <c r="B57" s="291"/>
      <c r="C57" s="291"/>
      <c r="D57" s="291"/>
      <c r="E57" s="291"/>
      <c r="F57" s="291"/>
      <c r="G57" s="292"/>
      <c r="H57" s="203"/>
      <c r="I57" s="295"/>
      <c r="J57" s="203"/>
      <c r="K57" s="295"/>
      <c r="L57" s="186"/>
      <c r="M57" s="190"/>
      <c r="N57" s="213"/>
      <c r="O57" s="294"/>
      <c r="P57" s="182"/>
      <c r="Q57" s="182"/>
      <c r="R57" s="294"/>
      <c r="X57" s="173"/>
      <c r="Y57" s="177"/>
      <c r="Z57" s="177"/>
      <c r="AA57" s="177"/>
      <c r="AB57" s="177"/>
      <c r="AC57" s="172"/>
      <c r="AD57" s="301"/>
    </row>
    <row r="58" spans="1:30" ht="20.25" customHeight="1">
      <c r="A58" s="264"/>
      <c r="B58" s="1020" t="s">
        <v>397</v>
      </c>
      <c r="C58" s="1020"/>
      <c r="D58" s="1020"/>
      <c r="E58" s="1020"/>
      <c r="F58" s="1020"/>
      <c r="G58" s="1020"/>
      <c r="H58" s="1020"/>
      <c r="I58" s="220"/>
      <c r="J58" s="221"/>
      <c r="K58" s="220"/>
      <c r="L58" s="222"/>
      <c r="M58" s="223"/>
      <c r="N58" s="224"/>
      <c r="O58" s="271"/>
      <c r="P58" s="219"/>
      <c r="Q58" s="219"/>
      <c r="R58" s="271"/>
      <c r="X58" s="173"/>
      <c r="Y58" s="177"/>
      <c r="Z58" s="177"/>
      <c r="AA58" s="177"/>
      <c r="AB58" s="177"/>
      <c r="AC58" s="172"/>
      <c r="AD58" s="171"/>
    </row>
    <row r="59" spans="1:30" ht="15" customHeight="1">
      <c r="A59" s="263"/>
      <c r="B59" s="1021" t="s">
        <v>429</v>
      </c>
      <c r="C59" s="1021"/>
      <c r="D59" s="1021"/>
      <c r="E59" s="1021"/>
      <c r="F59" s="1021"/>
      <c r="G59" s="1021"/>
      <c r="H59" s="1021"/>
      <c r="I59" s="183"/>
      <c r="J59" s="203"/>
      <c r="K59" s="183"/>
      <c r="L59" s="186"/>
      <c r="M59" s="190"/>
      <c r="N59" s="213"/>
      <c r="O59" s="262"/>
      <c r="P59" s="182"/>
      <c r="Q59" s="182"/>
      <c r="R59" s="262"/>
      <c r="X59" s="173"/>
      <c r="Y59" s="177"/>
      <c r="Z59" s="177"/>
      <c r="AA59" s="177"/>
      <c r="AB59" s="177"/>
      <c r="AC59" s="172"/>
      <c r="AD59" s="171"/>
    </row>
    <row r="60" spans="1:30" ht="15" customHeight="1">
      <c r="A60" s="263"/>
      <c r="B60" s="1014" t="s">
        <v>392</v>
      </c>
      <c r="C60" s="1014"/>
      <c r="D60" s="1014"/>
      <c r="E60" s="1014"/>
      <c r="F60" s="1014"/>
      <c r="G60" s="194"/>
      <c r="H60" s="203">
        <v>2</v>
      </c>
      <c r="I60" s="183" t="s">
        <v>1</v>
      </c>
      <c r="J60" s="203">
        <v>6</v>
      </c>
      <c r="K60" s="183" t="s">
        <v>1</v>
      </c>
      <c r="L60" s="186">
        <v>0.5</v>
      </c>
      <c r="M60" s="190" t="s">
        <v>0</v>
      </c>
      <c r="N60" s="213">
        <f t="shared" ref="N60:N63" si="6">L60*J60*H60</f>
        <v>6</v>
      </c>
      <c r="O60" s="262" t="s">
        <v>13</v>
      </c>
      <c r="P60" s="182"/>
      <c r="Q60" s="182"/>
      <c r="R60" s="262"/>
      <c r="X60" s="173"/>
      <c r="Y60" s="177"/>
      <c r="Z60" s="177"/>
      <c r="AA60" s="177"/>
      <c r="AB60" s="177"/>
      <c r="AC60" s="172"/>
      <c r="AD60" s="171"/>
    </row>
    <row r="61" spans="1:30" ht="15" customHeight="1">
      <c r="A61" s="263"/>
      <c r="B61" s="1014" t="s">
        <v>393</v>
      </c>
      <c r="C61" s="1014"/>
      <c r="D61" s="1014"/>
      <c r="E61" s="1014"/>
      <c r="F61" s="1014"/>
      <c r="G61" s="194"/>
      <c r="H61" s="203">
        <v>2</v>
      </c>
      <c r="I61" s="183" t="s">
        <v>1</v>
      </c>
      <c r="J61" s="203">
        <v>3</v>
      </c>
      <c r="K61" s="183" t="s">
        <v>1</v>
      </c>
      <c r="L61" s="186">
        <f>L49</f>
        <v>12</v>
      </c>
      <c r="M61" s="190" t="s">
        <v>0</v>
      </c>
      <c r="N61" s="213">
        <f t="shared" si="6"/>
        <v>72</v>
      </c>
      <c r="O61" s="262" t="s">
        <v>13</v>
      </c>
      <c r="P61" s="182"/>
      <c r="Q61" s="182"/>
      <c r="R61" s="262"/>
      <c r="X61" s="173"/>
      <c r="Y61" s="177"/>
      <c r="Z61" s="177"/>
      <c r="AA61" s="177"/>
      <c r="AB61" s="177"/>
      <c r="AC61" s="172"/>
      <c r="AD61" s="171"/>
    </row>
    <row r="62" spans="1:30" ht="15" customHeight="1">
      <c r="A62" s="263"/>
      <c r="B62" s="1014" t="s">
        <v>395</v>
      </c>
      <c r="C62" s="1014"/>
      <c r="D62" s="1014"/>
      <c r="E62" s="1014"/>
      <c r="F62" s="1014"/>
      <c r="G62" s="194"/>
      <c r="H62" s="203">
        <v>2</v>
      </c>
      <c r="I62" s="183" t="s">
        <v>1</v>
      </c>
      <c r="J62" s="203">
        <f>J60</f>
        <v>6</v>
      </c>
      <c r="K62" s="183" t="s">
        <v>1</v>
      </c>
      <c r="L62" s="186">
        <f>L60</f>
        <v>0.5</v>
      </c>
      <c r="M62" s="190" t="s">
        <v>0</v>
      </c>
      <c r="N62" s="213">
        <f t="shared" si="6"/>
        <v>6</v>
      </c>
      <c r="O62" s="262" t="s">
        <v>13</v>
      </c>
      <c r="P62" s="182"/>
      <c r="Q62" s="182"/>
      <c r="R62" s="262"/>
      <c r="X62" s="173"/>
      <c r="Y62" s="177"/>
      <c r="Z62" s="177"/>
      <c r="AA62" s="177"/>
      <c r="AB62" s="177"/>
      <c r="AC62" s="172"/>
      <c r="AD62" s="171"/>
    </row>
    <row r="63" spans="1:30" ht="15" customHeight="1">
      <c r="A63" s="263"/>
      <c r="B63" s="1014" t="s">
        <v>393</v>
      </c>
      <c r="C63" s="1014"/>
      <c r="D63" s="1014"/>
      <c r="E63" s="1014"/>
      <c r="F63" s="1014"/>
      <c r="G63" s="194"/>
      <c r="H63" s="203">
        <v>2</v>
      </c>
      <c r="I63" s="183" t="s">
        <v>1</v>
      </c>
      <c r="J63" s="203">
        <f>J61</f>
        <v>3</v>
      </c>
      <c r="K63" s="183" t="s">
        <v>1</v>
      </c>
      <c r="L63" s="186">
        <f>L50</f>
        <v>11</v>
      </c>
      <c r="M63" s="190" t="s">
        <v>0</v>
      </c>
      <c r="N63" s="213">
        <f t="shared" si="6"/>
        <v>66</v>
      </c>
      <c r="O63" s="262" t="s">
        <v>13</v>
      </c>
      <c r="P63" s="182"/>
      <c r="Q63" s="182"/>
      <c r="R63" s="262"/>
      <c r="X63" s="173"/>
      <c r="Y63" s="177"/>
      <c r="Z63" s="177"/>
      <c r="AA63" s="177"/>
      <c r="AB63" s="177"/>
      <c r="AC63" s="172"/>
      <c r="AD63" s="171"/>
    </row>
    <row r="64" spans="1:30" ht="15" customHeight="1">
      <c r="A64" s="263"/>
      <c r="B64" s="211"/>
      <c r="C64" s="212"/>
      <c r="D64" s="185"/>
      <c r="E64" s="185"/>
      <c r="F64" s="183"/>
      <c r="G64" s="183"/>
      <c r="H64" s="203"/>
      <c r="I64" s="183"/>
      <c r="J64" s="186"/>
      <c r="K64" s="184"/>
      <c r="L64" s="186" t="s">
        <v>8</v>
      </c>
      <c r="M64" s="190" t="s">
        <v>0</v>
      </c>
      <c r="N64" s="214">
        <f>SUM(N49:N63)</f>
        <v>1534</v>
      </c>
      <c r="O64" s="280" t="s">
        <v>13</v>
      </c>
      <c r="P64" s="182"/>
      <c r="Q64" s="182"/>
      <c r="R64" s="262"/>
      <c r="X64" s="173"/>
      <c r="Y64" s="177"/>
      <c r="Z64" s="177"/>
      <c r="AA64" s="177"/>
      <c r="AB64" s="177"/>
      <c r="AC64" s="172"/>
      <c r="AD64" s="171"/>
    </row>
    <row r="65" spans="1:30" ht="15" customHeight="1">
      <c r="A65" s="263"/>
      <c r="B65" s="192"/>
      <c r="C65" s="192"/>
      <c r="D65" s="192"/>
      <c r="E65" s="185"/>
      <c r="F65" s="193" t="s">
        <v>350</v>
      </c>
      <c r="G65" s="194" t="s">
        <v>11</v>
      </c>
      <c r="H65" s="194">
        <v>0.62</v>
      </c>
      <c r="I65" s="1010" t="s">
        <v>353</v>
      </c>
      <c r="J65" s="1015"/>
      <c r="K65" s="185"/>
      <c r="L65" s="185"/>
      <c r="M65" s="184" t="s">
        <v>0</v>
      </c>
      <c r="N65" s="194">
        <f>H65*N64</f>
        <v>951.08</v>
      </c>
      <c r="O65" s="268" t="s">
        <v>100</v>
      </c>
      <c r="P65" s="182"/>
      <c r="Q65" s="182"/>
      <c r="R65" s="262"/>
      <c r="X65" s="173"/>
      <c r="Y65" s="177"/>
      <c r="Z65" s="177"/>
      <c r="AA65" s="177"/>
      <c r="AB65" s="177"/>
      <c r="AC65" s="172"/>
      <c r="AD65" s="171"/>
    </row>
    <row r="66" spans="1:30" ht="15" customHeight="1">
      <c r="A66" s="263"/>
      <c r="B66" s="192"/>
      <c r="C66" s="192"/>
      <c r="D66" s="192"/>
      <c r="E66" s="185"/>
      <c r="F66" s="193"/>
      <c r="G66" s="194"/>
      <c r="H66" s="194"/>
      <c r="I66" s="217"/>
      <c r="J66" s="196"/>
      <c r="K66" s="185"/>
      <c r="L66" s="185"/>
      <c r="M66" s="184"/>
      <c r="N66" s="194"/>
      <c r="O66" s="268"/>
      <c r="P66" s="182"/>
      <c r="Q66" s="182"/>
      <c r="R66" s="262"/>
      <c r="X66" s="173"/>
      <c r="Y66" s="177"/>
      <c r="Z66" s="177"/>
      <c r="AA66" s="177"/>
      <c r="AB66" s="177"/>
      <c r="AC66" s="172"/>
      <c r="AD66" s="171"/>
    </row>
    <row r="67" spans="1:30">
      <c r="A67" s="262"/>
      <c r="B67" s="215"/>
      <c r="C67" s="215"/>
      <c r="D67" s="225"/>
      <c r="E67" s="225"/>
      <c r="F67" s="226"/>
      <c r="G67" s="227"/>
      <c r="H67" s="226"/>
      <c r="I67" s="1012" t="s">
        <v>359</v>
      </c>
      <c r="J67" s="1012"/>
      <c r="K67" s="1012"/>
      <c r="L67" s="1012"/>
      <c r="M67" s="228" t="s">
        <v>0</v>
      </c>
      <c r="N67" s="248">
        <f>N65+N42+N38+N30+N26+N18+N14</f>
        <v>2116.2529999999997</v>
      </c>
      <c r="O67" s="282" t="s">
        <v>100</v>
      </c>
      <c r="P67" s="190"/>
      <c r="Q67" s="205"/>
      <c r="R67" s="269"/>
    </row>
    <row r="68" spans="1:30" ht="31.5" customHeight="1">
      <c r="A68" s="262"/>
      <c r="B68" s="1026" t="s">
        <v>430</v>
      </c>
      <c r="C68" s="1026"/>
      <c r="D68" s="1026"/>
      <c r="E68" s="1026"/>
      <c r="F68" s="1026"/>
      <c r="G68" s="1026"/>
      <c r="H68" s="1026"/>
      <c r="I68" s="1026"/>
      <c r="J68" s="1026"/>
      <c r="K68" s="1026"/>
      <c r="L68" s="1026"/>
      <c r="M68" s="183" t="s">
        <v>0</v>
      </c>
      <c r="N68" s="288">
        <f>N67*0.05</f>
        <v>105.81264999999999</v>
      </c>
      <c r="O68" s="274"/>
      <c r="P68" s="190"/>
      <c r="Q68" s="205"/>
      <c r="R68" s="269"/>
    </row>
    <row r="69" spans="1:30">
      <c r="A69" s="262"/>
      <c r="B69" s="229"/>
      <c r="C69" s="229"/>
      <c r="D69" s="229"/>
      <c r="E69" s="229"/>
      <c r="F69" s="229"/>
      <c r="G69" s="229"/>
      <c r="H69" s="996" t="s">
        <v>398</v>
      </c>
      <c r="I69" s="996"/>
      <c r="J69" s="996"/>
      <c r="K69" s="996"/>
      <c r="L69" s="996"/>
      <c r="M69" s="184" t="s">
        <v>0</v>
      </c>
      <c r="N69" s="249">
        <f>N68+N67</f>
        <v>2222.0656499999996</v>
      </c>
      <c r="O69" s="274" t="s">
        <v>100</v>
      </c>
      <c r="P69" s="190"/>
      <c r="Q69" s="205"/>
      <c r="R69" s="269"/>
    </row>
    <row r="70" spans="1:30">
      <c r="A70" s="262"/>
      <c r="B70" s="192"/>
      <c r="C70" s="192"/>
      <c r="D70" s="230"/>
      <c r="E70" s="230"/>
      <c r="F70" s="231"/>
      <c r="G70" s="201"/>
      <c r="H70" s="231"/>
      <c r="I70" s="201"/>
      <c r="J70" s="187"/>
      <c r="K70" s="190"/>
      <c r="L70" s="187"/>
      <c r="M70" s="184" t="s">
        <v>0</v>
      </c>
      <c r="N70" s="287">
        <f>N69/100</f>
        <v>22.220656499999997</v>
      </c>
      <c r="O70" s="281" t="s">
        <v>368</v>
      </c>
      <c r="P70" s="190"/>
      <c r="Q70" s="205"/>
      <c r="R70" s="269"/>
    </row>
    <row r="71" spans="1:30" ht="15" customHeight="1">
      <c r="A71" s="263"/>
      <c r="B71" s="182"/>
      <c r="C71" s="182"/>
      <c r="D71" s="182"/>
      <c r="E71" s="182"/>
      <c r="F71" s="182"/>
      <c r="G71" s="182"/>
      <c r="H71" s="182"/>
      <c r="I71" s="182"/>
      <c r="J71" s="193" t="s">
        <v>350</v>
      </c>
      <c r="K71" s="194" t="s">
        <v>11</v>
      </c>
      <c r="L71" s="989">
        <v>9938</v>
      </c>
      <c r="M71" s="989"/>
      <c r="N71" s="196" t="s">
        <v>360</v>
      </c>
      <c r="O71" s="262"/>
      <c r="P71" s="184" t="s">
        <v>0</v>
      </c>
      <c r="Q71" s="197" t="s">
        <v>11</v>
      </c>
      <c r="R71" s="268">
        <f>ROUND(N70*L71,0)</f>
        <v>220829</v>
      </c>
    </row>
    <row r="72" spans="1:30" ht="15" customHeight="1">
      <c r="A72" s="263"/>
      <c r="B72" s="182"/>
      <c r="C72" s="182"/>
      <c r="D72" s="182"/>
      <c r="E72" s="182"/>
      <c r="F72" s="182"/>
      <c r="G72" s="182"/>
      <c r="H72" s="182"/>
      <c r="I72" s="182"/>
      <c r="J72" s="193"/>
      <c r="K72" s="292"/>
      <c r="L72" s="292"/>
      <c r="M72" s="292"/>
      <c r="N72" s="290"/>
      <c r="O72" s="294"/>
      <c r="P72" s="184"/>
      <c r="Q72" s="197"/>
      <c r="R72" s="268"/>
    </row>
    <row r="73" spans="1:30" ht="50.25" customHeight="1">
      <c r="A73" s="298" t="s">
        <v>433</v>
      </c>
      <c r="B73" s="999" t="s">
        <v>354</v>
      </c>
      <c r="C73" s="999"/>
      <c r="D73" s="999"/>
      <c r="E73" s="999"/>
      <c r="F73" s="999"/>
      <c r="G73" s="999"/>
      <c r="H73" s="999"/>
      <c r="I73" s="999"/>
      <c r="J73" s="999"/>
      <c r="K73" s="999"/>
      <c r="L73" s="999"/>
      <c r="M73" s="999"/>
      <c r="N73" s="999"/>
      <c r="O73" s="999"/>
      <c r="P73" s="184"/>
      <c r="Q73" s="197"/>
      <c r="R73" s="268"/>
    </row>
    <row r="74" spans="1:30" ht="19.5" customHeight="1">
      <c r="A74" s="262"/>
      <c r="B74" s="1009" t="s">
        <v>378</v>
      </c>
      <c r="C74" s="1009"/>
      <c r="D74" s="1009"/>
      <c r="E74" s="1009"/>
      <c r="F74" s="1009"/>
      <c r="G74" s="1009"/>
      <c r="H74" s="1009"/>
      <c r="I74" s="1009"/>
      <c r="J74" s="1009"/>
      <c r="K74" s="190"/>
      <c r="L74" s="187"/>
      <c r="M74" s="190"/>
      <c r="N74" s="213"/>
      <c r="O74" s="262"/>
      <c r="P74" s="200"/>
      <c r="Q74" s="200"/>
      <c r="R74" s="265"/>
    </row>
    <row r="75" spans="1:30" ht="21" customHeight="1">
      <c r="A75" s="263"/>
      <c r="B75" s="1073" t="s">
        <v>411</v>
      </c>
      <c r="C75" s="1073"/>
      <c r="D75" s="1073"/>
      <c r="E75" s="1073"/>
      <c r="F75" s="203">
        <f>H12</f>
        <v>5</v>
      </c>
      <c r="G75" s="183" t="s">
        <v>1</v>
      </c>
      <c r="H75" s="203">
        <v>4</v>
      </c>
      <c r="I75" s="183" t="s">
        <v>1</v>
      </c>
      <c r="J75" s="186">
        <v>0.35</v>
      </c>
      <c r="K75" s="183" t="s">
        <v>1</v>
      </c>
      <c r="L75" s="186">
        <v>3</v>
      </c>
      <c r="M75" s="190" t="s">
        <v>0</v>
      </c>
      <c r="N75" s="199">
        <f t="shared" ref="N75" si="7">L75*J75*H75*F75</f>
        <v>20.999999999999996</v>
      </c>
      <c r="O75" s="244" t="s">
        <v>420</v>
      </c>
      <c r="P75" s="182"/>
      <c r="Q75" s="182"/>
      <c r="R75" s="262"/>
    </row>
    <row r="76" spans="1:30" ht="33.75" customHeight="1">
      <c r="A76" s="263"/>
      <c r="B76" s="1073" t="s">
        <v>412</v>
      </c>
      <c r="C76" s="1073"/>
      <c r="D76" s="1073"/>
      <c r="E76" s="1073"/>
      <c r="F76" s="183">
        <v>1</v>
      </c>
      <c r="G76" s="183" t="s">
        <v>1</v>
      </c>
      <c r="H76" s="203">
        <v>3</v>
      </c>
      <c r="I76" s="183" t="s">
        <v>1</v>
      </c>
      <c r="J76" s="186">
        <v>0.35</v>
      </c>
      <c r="K76" s="183" t="s">
        <v>1</v>
      </c>
      <c r="L76" s="186">
        <v>9</v>
      </c>
      <c r="M76" s="201" t="s">
        <v>0</v>
      </c>
      <c r="N76" s="199">
        <f t="shared" ref="N76:N78" si="8">L76*J76*H76*F76</f>
        <v>9.4499999999999993</v>
      </c>
      <c r="O76" s="234" t="s">
        <v>420</v>
      </c>
      <c r="P76" s="182"/>
      <c r="Q76" s="182"/>
      <c r="R76" s="262"/>
    </row>
    <row r="77" spans="1:30" ht="18.75" customHeight="1">
      <c r="A77" s="263"/>
      <c r="B77" s="297"/>
      <c r="C77" s="297"/>
      <c r="D77" s="297"/>
      <c r="E77" s="297"/>
      <c r="F77" s="295">
        <v>1</v>
      </c>
      <c r="G77" s="295" t="s">
        <v>1</v>
      </c>
      <c r="H77" s="203">
        <v>3</v>
      </c>
      <c r="I77" s="295" t="s">
        <v>1</v>
      </c>
      <c r="J77" s="186">
        <v>0.5</v>
      </c>
      <c r="K77" s="295" t="s">
        <v>1</v>
      </c>
      <c r="L77" s="186">
        <v>24</v>
      </c>
      <c r="M77" s="293" t="s">
        <v>0</v>
      </c>
      <c r="N77" s="199">
        <f t="shared" ref="N77" si="9">L77*J77*H77*F77</f>
        <v>36</v>
      </c>
      <c r="O77" s="234" t="s">
        <v>420</v>
      </c>
      <c r="P77" s="182"/>
      <c r="Q77" s="182"/>
      <c r="R77" s="294"/>
    </row>
    <row r="78" spans="1:30" ht="16.5" customHeight="1">
      <c r="A78" s="262"/>
      <c r="B78" s="1011" t="s">
        <v>375</v>
      </c>
      <c r="C78" s="1011"/>
      <c r="D78" s="1011"/>
      <c r="E78" s="1011"/>
      <c r="F78" s="203">
        <v>1</v>
      </c>
      <c r="G78" s="183" t="s">
        <v>1</v>
      </c>
      <c r="H78" s="203">
        <v>2</v>
      </c>
      <c r="I78" s="183" t="s">
        <v>1</v>
      </c>
      <c r="J78" s="186">
        <v>0.2</v>
      </c>
      <c r="K78" s="183" t="s">
        <v>1</v>
      </c>
      <c r="L78" s="186">
        <f>L22</f>
        <v>42</v>
      </c>
      <c r="M78" s="201" t="s">
        <v>0</v>
      </c>
      <c r="N78" s="199">
        <f t="shared" si="8"/>
        <v>16.8</v>
      </c>
      <c r="O78" s="244" t="s">
        <v>420</v>
      </c>
      <c r="P78" s="200"/>
      <c r="Q78" s="200"/>
      <c r="R78" s="265"/>
    </row>
    <row r="79" spans="1:30" ht="17.25">
      <c r="A79" s="262"/>
      <c r="B79" s="1011" t="s">
        <v>349</v>
      </c>
      <c r="C79" s="1011"/>
      <c r="D79" s="1011"/>
      <c r="E79" s="1011"/>
      <c r="F79" s="203"/>
      <c r="G79" s="183"/>
      <c r="H79" s="203">
        <v>1</v>
      </c>
      <c r="I79" s="183" t="s">
        <v>1</v>
      </c>
      <c r="J79" s="186">
        <f>L49</f>
        <v>12</v>
      </c>
      <c r="K79" s="183" t="s">
        <v>1</v>
      </c>
      <c r="L79" s="186">
        <f>L50</f>
        <v>11</v>
      </c>
      <c r="M79" s="232" t="s">
        <v>0</v>
      </c>
      <c r="N79" s="189">
        <f>L79*J79*H79</f>
        <v>132</v>
      </c>
      <c r="O79" s="283" t="s">
        <v>420</v>
      </c>
      <c r="P79" s="200"/>
      <c r="Q79" s="200"/>
      <c r="R79" s="265"/>
      <c r="W79" s="168"/>
      <c r="X79" s="168"/>
      <c r="Y79" s="168"/>
      <c r="Z79" s="168"/>
      <c r="AA79" s="168"/>
      <c r="AB79" s="168"/>
      <c r="AC79" s="168"/>
      <c r="AD79" s="168"/>
    </row>
    <row r="80" spans="1:30" ht="17.25">
      <c r="A80" s="244"/>
      <c r="B80" s="185"/>
      <c r="C80" s="185"/>
      <c r="D80" s="185"/>
      <c r="E80" s="185"/>
      <c r="F80" s="185"/>
      <c r="G80" s="185"/>
      <c r="H80" s="185"/>
      <c r="I80" s="185"/>
      <c r="J80" s="185"/>
      <c r="K80" s="996" t="s">
        <v>8</v>
      </c>
      <c r="L80" s="996"/>
      <c r="M80" s="190" t="s">
        <v>0</v>
      </c>
      <c r="N80" s="204">
        <f>SUM(N74:N79)</f>
        <v>215.25</v>
      </c>
      <c r="O80" s="244" t="s">
        <v>420</v>
      </c>
      <c r="P80" s="185"/>
      <c r="Q80" s="185"/>
      <c r="R80" s="244"/>
    </row>
    <row r="81" spans="1:22" ht="17.25">
      <c r="A81" s="263"/>
      <c r="B81" s="182"/>
      <c r="C81" s="182"/>
      <c r="D81" s="182"/>
      <c r="E81" s="182"/>
      <c r="F81" s="182"/>
      <c r="G81" s="182"/>
      <c r="H81" s="182"/>
      <c r="I81" s="182"/>
      <c r="J81" s="193" t="s">
        <v>350</v>
      </c>
      <c r="K81" s="194" t="s">
        <v>11</v>
      </c>
      <c r="L81" s="989">
        <v>389</v>
      </c>
      <c r="M81" s="989"/>
      <c r="N81" s="196" t="s">
        <v>421</v>
      </c>
      <c r="O81" s="262"/>
      <c r="P81" s="190" t="s">
        <v>0</v>
      </c>
      <c r="Q81" s="205" t="s">
        <v>11</v>
      </c>
      <c r="R81" s="269">
        <f>ROUND(N80*L81,0)</f>
        <v>83732</v>
      </c>
    </row>
    <row r="82" spans="1:22">
      <c r="A82" s="263"/>
      <c r="B82" s="182"/>
      <c r="C82" s="182"/>
      <c r="D82" s="182"/>
      <c r="E82" s="182"/>
      <c r="F82" s="182"/>
      <c r="G82" s="182"/>
      <c r="H82" s="182"/>
      <c r="I82" s="182"/>
      <c r="J82" s="193"/>
      <c r="K82" s="292"/>
      <c r="L82" s="292"/>
      <c r="M82" s="292"/>
      <c r="N82" s="290"/>
      <c r="O82" s="294"/>
      <c r="P82" s="190"/>
      <c r="Q82" s="205"/>
      <c r="R82" s="269"/>
    </row>
    <row r="83" spans="1:22">
      <c r="A83" s="263"/>
      <c r="B83" s="182"/>
      <c r="C83" s="182"/>
      <c r="D83" s="182"/>
      <c r="E83" s="182"/>
      <c r="F83" s="182"/>
      <c r="G83" s="182"/>
      <c r="H83" s="182"/>
      <c r="I83" s="182"/>
      <c r="J83" s="193"/>
      <c r="K83" s="292"/>
      <c r="L83" s="292"/>
      <c r="M83" s="292"/>
      <c r="N83" s="290"/>
      <c r="O83" s="294"/>
      <c r="P83" s="190"/>
      <c r="Q83" s="205"/>
      <c r="R83" s="269"/>
    </row>
    <row r="84" spans="1:22">
      <c r="A84" s="263"/>
      <c r="B84" s="182"/>
      <c r="C84" s="182"/>
      <c r="D84" s="182"/>
      <c r="E84" s="182"/>
      <c r="F84" s="182"/>
      <c r="G84" s="182"/>
      <c r="H84" s="182"/>
      <c r="I84" s="182"/>
      <c r="J84" s="193"/>
      <c r="K84" s="292"/>
      <c r="L84" s="292"/>
      <c r="M84" s="292"/>
      <c r="N84" s="290"/>
      <c r="O84" s="294"/>
      <c r="P84" s="190"/>
      <c r="Q84" s="205"/>
      <c r="R84" s="269"/>
    </row>
    <row r="85" spans="1:22">
      <c r="A85" s="263"/>
      <c r="B85" s="182"/>
      <c r="C85" s="182"/>
      <c r="D85" s="182"/>
      <c r="E85" s="182"/>
      <c r="F85" s="182"/>
      <c r="G85" s="182"/>
      <c r="H85" s="182"/>
      <c r="I85" s="182"/>
      <c r="J85" s="193"/>
      <c r="K85" s="292"/>
      <c r="L85" s="292"/>
      <c r="M85" s="292"/>
      <c r="N85" s="290"/>
      <c r="O85" s="294"/>
      <c r="P85" s="190"/>
      <c r="Q85" s="205"/>
      <c r="R85" s="269"/>
    </row>
    <row r="86" spans="1:22" ht="17.25" customHeight="1">
      <c r="A86" s="263"/>
      <c r="B86" s="182"/>
      <c r="C86" s="182"/>
      <c r="D86" s="182"/>
      <c r="E86" s="182"/>
      <c r="F86" s="182"/>
      <c r="G86" s="182"/>
      <c r="H86" s="182"/>
      <c r="I86" s="182"/>
      <c r="J86" s="193"/>
      <c r="K86" s="292"/>
      <c r="L86" s="292"/>
      <c r="M86" s="292"/>
      <c r="N86" s="290"/>
      <c r="O86" s="294"/>
      <c r="P86" s="190"/>
      <c r="Q86" s="205"/>
      <c r="R86" s="269"/>
    </row>
    <row r="87" spans="1:22">
      <c r="A87" s="263"/>
      <c r="B87" s="182"/>
      <c r="C87" s="182"/>
      <c r="D87" s="182"/>
      <c r="E87" s="182"/>
      <c r="F87" s="182"/>
      <c r="G87" s="182"/>
      <c r="H87" s="182"/>
      <c r="I87" s="182"/>
      <c r="J87" s="193"/>
      <c r="K87" s="292"/>
      <c r="L87" s="292"/>
      <c r="M87" s="292"/>
      <c r="N87" s="290"/>
      <c r="O87" s="294"/>
      <c r="P87" s="190"/>
      <c r="Q87" s="205"/>
      <c r="R87" s="269"/>
    </row>
    <row r="88" spans="1:22">
      <c r="A88" s="263"/>
      <c r="B88" s="182"/>
      <c r="C88" s="182"/>
      <c r="D88" s="182"/>
      <c r="E88" s="182"/>
      <c r="F88" s="182"/>
      <c r="G88" s="182"/>
      <c r="H88" s="182"/>
      <c r="I88" s="182"/>
      <c r="J88" s="193"/>
      <c r="K88" s="292"/>
      <c r="L88" s="292"/>
      <c r="M88" s="292"/>
      <c r="N88" s="290"/>
      <c r="O88" s="281" t="s">
        <v>24</v>
      </c>
      <c r="P88" s="251" t="s">
        <v>0</v>
      </c>
      <c r="Q88" s="252" t="s">
        <v>11</v>
      </c>
      <c r="R88" s="272">
        <f>SUM(R45:R87)</f>
        <v>304561</v>
      </c>
    </row>
    <row r="89" spans="1:22" ht="15" customHeight="1">
      <c r="A89" s="244"/>
      <c r="B89" s="185"/>
      <c r="C89" s="185"/>
      <c r="D89" s="185"/>
      <c r="E89" s="185"/>
      <c r="F89" s="185"/>
      <c r="G89" s="185"/>
      <c r="H89" s="185"/>
      <c r="I89" s="185"/>
      <c r="J89" s="185"/>
      <c r="K89" s="185"/>
      <c r="L89" s="185"/>
      <c r="M89" s="185"/>
      <c r="N89" s="185"/>
      <c r="O89" s="281" t="s">
        <v>25</v>
      </c>
      <c r="P89" s="251" t="s">
        <v>0</v>
      </c>
      <c r="Q89" s="252" t="s">
        <v>11</v>
      </c>
      <c r="R89" s="272">
        <f>R88*1</f>
        <v>304561</v>
      </c>
    </row>
    <row r="90" spans="1:22" ht="14.25" customHeight="1">
      <c r="A90" s="263"/>
      <c r="B90" s="182"/>
      <c r="C90" s="182"/>
      <c r="D90" s="182"/>
      <c r="E90" s="182"/>
      <c r="F90" s="182"/>
      <c r="G90" s="182"/>
      <c r="H90" s="182"/>
      <c r="I90" s="182"/>
      <c r="J90" s="193"/>
      <c r="K90" s="194"/>
      <c r="L90" s="194"/>
      <c r="M90" s="194"/>
      <c r="N90" s="196"/>
      <c r="O90" s="262"/>
      <c r="P90" s="184"/>
      <c r="Q90" s="197"/>
      <c r="R90" s="268"/>
    </row>
    <row r="91" spans="1:22" ht="13.5" customHeight="1">
      <c r="A91" s="263"/>
      <c r="B91" s="182"/>
      <c r="C91" s="182"/>
      <c r="D91" s="182"/>
      <c r="E91" s="182"/>
      <c r="F91" s="182"/>
      <c r="G91" s="182"/>
      <c r="H91" s="182"/>
      <c r="I91" s="182"/>
      <c r="J91" s="193"/>
      <c r="K91" s="194"/>
      <c r="L91" s="194"/>
      <c r="M91" s="194"/>
      <c r="N91" s="196"/>
      <c r="O91" s="262"/>
      <c r="P91" s="184"/>
      <c r="Q91" s="197"/>
      <c r="R91" s="268"/>
    </row>
    <row r="92" spans="1:22" ht="46.5" customHeight="1">
      <c r="A92" s="298" t="s">
        <v>434</v>
      </c>
      <c r="B92" s="999" t="s">
        <v>362</v>
      </c>
      <c r="C92" s="999"/>
      <c r="D92" s="999"/>
      <c r="E92" s="999"/>
      <c r="F92" s="999"/>
      <c r="G92" s="999"/>
      <c r="H92" s="999"/>
      <c r="I92" s="999"/>
      <c r="J92" s="999"/>
      <c r="K92" s="999"/>
      <c r="L92" s="999"/>
      <c r="M92" s="999"/>
      <c r="N92" s="999"/>
      <c r="O92" s="999"/>
      <c r="P92" s="200"/>
      <c r="Q92" s="200"/>
      <c r="R92" s="265"/>
    </row>
    <row r="93" spans="1:22" ht="19.5" customHeight="1">
      <c r="A93" s="294"/>
      <c r="B93" s="1074" t="s">
        <v>361</v>
      </c>
      <c r="C93" s="1074"/>
      <c r="D93" s="1074"/>
      <c r="E93" s="1074"/>
      <c r="F93" s="1074"/>
      <c r="G93" s="1074"/>
      <c r="H93" s="1074"/>
      <c r="I93" s="1074"/>
      <c r="J93" s="1074"/>
      <c r="K93" s="190"/>
      <c r="L93" s="187"/>
      <c r="M93" s="190"/>
      <c r="N93" s="213"/>
      <c r="O93" s="294"/>
      <c r="P93" s="200"/>
      <c r="Q93" s="200"/>
      <c r="R93" s="265"/>
    </row>
    <row r="94" spans="1:22" ht="18" customHeight="1">
      <c r="A94" s="244"/>
      <c r="B94" s="1010" t="s">
        <v>411</v>
      </c>
      <c r="C94" s="1010"/>
      <c r="D94" s="1010"/>
      <c r="E94" s="1010"/>
      <c r="F94" s="203">
        <f>H12</f>
        <v>5</v>
      </c>
      <c r="G94" s="295" t="s">
        <v>1</v>
      </c>
      <c r="H94" s="186">
        <v>0.35</v>
      </c>
      <c r="I94" s="295" t="s">
        <v>1</v>
      </c>
      <c r="J94" s="186">
        <v>0.35</v>
      </c>
      <c r="K94" s="295" t="s">
        <v>1</v>
      </c>
      <c r="L94" s="186">
        <v>3</v>
      </c>
      <c r="M94" s="190" t="s">
        <v>0</v>
      </c>
      <c r="N94" s="199">
        <f t="shared" ref="N94" si="10">ROUND(F94*H94*J94*L94,2)</f>
        <v>1.84</v>
      </c>
      <c r="O94" s="294" t="s">
        <v>418</v>
      </c>
      <c r="P94" s="185"/>
      <c r="Q94" s="185"/>
      <c r="R94" s="244"/>
    </row>
    <row r="95" spans="1:22" ht="17.25" customHeight="1">
      <c r="A95" s="244"/>
      <c r="B95" s="1074" t="s">
        <v>428</v>
      </c>
      <c r="C95" s="1074"/>
      <c r="D95" s="1074"/>
      <c r="E95" s="1074"/>
      <c r="F95" s="1074"/>
      <c r="G95" s="1074"/>
      <c r="H95" s="1074"/>
      <c r="I95" s="1074"/>
      <c r="J95" s="1074"/>
      <c r="K95" s="295"/>
      <c r="L95" s="186"/>
      <c r="M95" s="190"/>
      <c r="N95" s="199"/>
      <c r="O95" s="294"/>
      <c r="P95" s="185"/>
      <c r="Q95" s="185"/>
      <c r="R95" s="244"/>
    </row>
    <row r="96" spans="1:22" ht="15" customHeight="1">
      <c r="A96" s="244"/>
      <c r="B96" s="1009"/>
      <c r="C96" s="1009"/>
      <c r="D96" s="185"/>
      <c r="E96" s="185"/>
      <c r="F96" s="203">
        <v>1</v>
      </c>
      <c r="G96" s="295" t="s">
        <v>1</v>
      </c>
      <c r="H96" s="186">
        <f>24</f>
        <v>24</v>
      </c>
      <c r="I96" s="295" t="s">
        <v>1</v>
      </c>
      <c r="J96" s="186">
        <v>0.25</v>
      </c>
      <c r="K96" s="295" t="s">
        <v>1</v>
      </c>
      <c r="L96" s="186">
        <v>0.35</v>
      </c>
      <c r="M96" s="190" t="s">
        <v>0</v>
      </c>
      <c r="N96" s="199">
        <f t="shared" ref="N96" si="11">ROUND(F96*H96*J96*L96,2)</f>
        <v>2.1</v>
      </c>
      <c r="O96" s="294" t="s">
        <v>418</v>
      </c>
      <c r="P96" s="185"/>
      <c r="Q96" s="185"/>
      <c r="R96" s="244"/>
      <c r="V96" s="157" t="s">
        <v>374</v>
      </c>
    </row>
    <row r="97" spans="1:30" ht="15" customHeight="1">
      <c r="A97" s="244"/>
      <c r="B97" s="295"/>
      <c r="C97" s="295"/>
      <c r="D97" s="185"/>
      <c r="E97" s="185"/>
      <c r="F97" s="203">
        <v>1</v>
      </c>
      <c r="G97" s="295" t="s">
        <v>1</v>
      </c>
      <c r="H97" s="186">
        <v>9</v>
      </c>
      <c r="I97" s="295" t="s">
        <v>1</v>
      </c>
      <c r="J97" s="186">
        <v>0.3</v>
      </c>
      <c r="K97" s="295" t="s">
        <v>1</v>
      </c>
      <c r="L97" s="186">
        <v>0.5</v>
      </c>
      <c r="M97" s="190" t="s">
        <v>0</v>
      </c>
      <c r="N97" s="199">
        <f>ROUND(F97*H97*J97*L97,2)</f>
        <v>1.35</v>
      </c>
      <c r="O97" s="294" t="s">
        <v>418</v>
      </c>
      <c r="P97" s="185"/>
      <c r="Q97" s="185"/>
      <c r="R97" s="244"/>
    </row>
    <row r="98" spans="1:30" ht="16.5" customHeight="1">
      <c r="A98" s="294"/>
      <c r="B98" s="1011" t="s">
        <v>375</v>
      </c>
      <c r="C98" s="1011"/>
      <c r="D98" s="1011"/>
      <c r="E98" s="1011"/>
      <c r="F98" s="203"/>
      <c r="G98" s="295"/>
      <c r="H98" s="203">
        <v>1</v>
      </c>
      <c r="I98" s="295" t="s">
        <v>1</v>
      </c>
      <c r="J98" s="186">
        <v>0.2</v>
      </c>
      <c r="K98" s="295" t="s">
        <v>1</v>
      </c>
      <c r="L98" s="186">
        <v>24</v>
      </c>
      <c r="M98" s="293" t="s">
        <v>0</v>
      </c>
      <c r="N98" s="199">
        <f>L98*J98*H98</f>
        <v>4.8000000000000007</v>
      </c>
      <c r="O98" s="294" t="s">
        <v>418</v>
      </c>
      <c r="P98" s="200"/>
      <c r="Q98" s="200"/>
      <c r="R98" s="265"/>
    </row>
    <row r="99" spans="1:30" ht="17.25">
      <c r="A99" s="294"/>
      <c r="B99" s="1077" t="s">
        <v>349</v>
      </c>
      <c r="C99" s="1077"/>
      <c r="D99" s="1077"/>
      <c r="E99" s="1077"/>
      <c r="F99" s="203"/>
      <c r="G99" s="295"/>
      <c r="H99" s="186">
        <v>12</v>
      </c>
      <c r="I99" s="295" t="s">
        <v>1</v>
      </c>
      <c r="J99" s="186">
        <v>11</v>
      </c>
      <c r="K99" s="295" t="s">
        <v>1</v>
      </c>
      <c r="L99" s="186">
        <v>0.1</v>
      </c>
      <c r="M99" s="232" t="s">
        <v>0</v>
      </c>
      <c r="N99" s="189">
        <f>L99*J99*H99</f>
        <v>13.200000000000001</v>
      </c>
      <c r="O99" s="294" t="s">
        <v>418</v>
      </c>
      <c r="P99" s="200"/>
      <c r="Q99" s="200"/>
      <c r="R99" s="265"/>
      <c r="W99" s="168"/>
      <c r="X99" s="168"/>
      <c r="Y99" s="168"/>
      <c r="Z99" s="168"/>
      <c r="AA99" s="168"/>
      <c r="AB99" s="168"/>
      <c r="AC99" s="168"/>
      <c r="AD99" s="168"/>
    </row>
    <row r="100" spans="1:30" ht="15" customHeight="1">
      <c r="A100" s="244"/>
      <c r="B100" s="185"/>
      <c r="C100" s="185"/>
      <c r="D100" s="185"/>
      <c r="E100" s="185"/>
      <c r="F100" s="185"/>
      <c r="G100" s="185"/>
      <c r="H100" s="185"/>
      <c r="I100" s="185"/>
      <c r="J100" s="185"/>
      <c r="K100" s="996" t="s">
        <v>8</v>
      </c>
      <c r="L100" s="996"/>
      <c r="M100" s="190" t="s">
        <v>0</v>
      </c>
      <c r="N100" s="235">
        <f>SUM(N94:N99)</f>
        <v>23.290000000000003</v>
      </c>
      <c r="O100" s="262" t="s">
        <v>418</v>
      </c>
      <c r="P100" s="185"/>
      <c r="Q100" s="185"/>
      <c r="R100" s="244"/>
    </row>
    <row r="101" spans="1:30" ht="15" customHeight="1">
      <c r="A101" s="263"/>
      <c r="B101" s="182"/>
      <c r="C101" s="182"/>
      <c r="D101" s="182"/>
      <c r="E101" s="182"/>
      <c r="F101" s="182"/>
      <c r="G101" s="182"/>
      <c r="H101" s="182"/>
      <c r="I101" s="182"/>
      <c r="J101" s="193" t="s">
        <v>350</v>
      </c>
      <c r="K101" s="194" t="s">
        <v>11</v>
      </c>
      <c r="L101" s="989">
        <v>7310</v>
      </c>
      <c r="M101" s="989"/>
      <c r="N101" s="196" t="s">
        <v>419</v>
      </c>
      <c r="O101" s="262"/>
      <c r="P101" s="184" t="s">
        <v>0</v>
      </c>
      <c r="Q101" s="197" t="s">
        <v>11</v>
      </c>
      <c r="R101" s="268">
        <f>ROUND(N100*L101,0)</f>
        <v>170250</v>
      </c>
    </row>
    <row r="102" spans="1:30" ht="15" customHeight="1">
      <c r="A102" s="263"/>
      <c r="B102" s="182"/>
      <c r="C102" s="182"/>
      <c r="D102" s="182"/>
      <c r="E102" s="182"/>
      <c r="F102" s="182"/>
      <c r="G102" s="182"/>
      <c r="H102" s="182"/>
      <c r="I102" s="182"/>
      <c r="J102" s="193"/>
      <c r="K102" s="292"/>
      <c r="L102" s="292"/>
      <c r="M102" s="292"/>
      <c r="N102" s="290"/>
      <c r="O102" s="294"/>
      <c r="P102" s="184"/>
      <c r="Q102" s="197"/>
      <c r="R102" s="268"/>
    </row>
    <row r="103" spans="1:30" ht="13.5" customHeight="1">
      <c r="A103" s="262"/>
      <c r="B103" s="192"/>
      <c r="C103" s="192"/>
      <c r="D103" s="201"/>
      <c r="E103" s="201"/>
      <c r="F103" s="187"/>
      <c r="G103" s="190"/>
      <c r="H103" s="187"/>
      <c r="I103" s="201"/>
      <c r="J103" s="187"/>
      <c r="K103" s="201"/>
      <c r="L103" s="201"/>
      <c r="M103" s="190"/>
      <c r="N103" s="213"/>
      <c r="O103" s="262"/>
      <c r="P103" s="190"/>
      <c r="Q103" s="205"/>
      <c r="R103" s="269"/>
    </row>
    <row r="104" spans="1:30" ht="78.75" customHeight="1">
      <c r="A104" s="298" t="s">
        <v>435</v>
      </c>
      <c r="B104" s="999" t="s">
        <v>355</v>
      </c>
      <c r="C104" s="999"/>
      <c r="D104" s="999"/>
      <c r="E104" s="999"/>
      <c r="F104" s="999"/>
      <c r="G104" s="999"/>
      <c r="H104" s="999"/>
      <c r="I104" s="999"/>
      <c r="J104" s="999"/>
      <c r="K104" s="999"/>
      <c r="L104" s="999"/>
      <c r="M104" s="999"/>
      <c r="N104" s="999"/>
      <c r="O104" s="999"/>
      <c r="P104" s="184"/>
      <c r="Q104" s="197"/>
      <c r="R104" s="268"/>
      <c r="T104" s="168"/>
    </row>
    <row r="105" spans="1:30" ht="15" customHeight="1">
      <c r="A105" s="259"/>
      <c r="B105" s="210" t="s">
        <v>358</v>
      </c>
      <c r="C105" s="185"/>
      <c r="D105" s="185"/>
      <c r="E105" s="185"/>
      <c r="F105" s="185"/>
      <c r="G105" s="185"/>
      <c r="H105" s="203"/>
      <c r="I105" s="183"/>
      <c r="J105" s="186"/>
      <c r="K105" s="183"/>
      <c r="L105" s="186"/>
      <c r="M105" s="190"/>
      <c r="N105" s="213"/>
      <c r="O105" s="244"/>
      <c r="P105" s="184"/>
      <c r="Q105" s="197"/>
      <c r="R105" s="268"/>
      <c r="T105" s="168"/>
    </row>
    <row r="106" spans="1:30" ht="15" customHeight="1">
      <c r="A106" s="259"/>
      <c r="B106" s="210" t="s">
        <v>381</v>
      </c>
      <c r="C106" s="185"/>
      <c r="D106" s="185"/>
      <c r="E106" s="185"/>
      <c r="F106" s="185"/>
      <c r="G106" s="185"/>
      <c r="H106" s="203">
        <v>1</v>
      </c>
      <c r="I106" s="183" t="s">
        <v>1</v>
      </c>
      <c r="J106" s="186">
        <f>2*(11+10)</f>
        <v>42</v>
      </c>
      <c r="K106" s="183" t="s">
        <v>1</v>
      </c>
      <c r="L106" s="186">
        <v>3</v>
      </c>
      <c r="M106" s="201" t="s">
        <v>0</v>
      </c>
      <c r="N106" s="213">
        <f t="shared" ref="N106:N108" si="12">L106*J106*H106</f>
        <v>126</v>
      </c>
      <c r="O106" s="244" t="s">
        <v>420</v>
      </c>
      <c r="P106" s="184"/>
      <c r="Q106" s="197"/>
      <c r="R106" s="268"/>
      <c r="T106" s="168"/>
    </row>
    <row r="107" spans="1:30" ht="15" customHeight="1">
      <c r="A107" s="259"/>
      <c r="B107" s="185" t="s">
        <v>376</v>
      </c>
      <c r="C107" s="185"/>
      <c r="D107" s="185"/>
      <c r="E107" s="185"/>
      <c r="F107" s="185"/>
      <c r="G107" s="185"/>
      <c r="H107" s="203">
        <v>1</v>
      </c>
      <c r="I107" s="183" t="s">
        <v>1</v>
      </c>
      <c r="J107" s="186">
        <v>2.1</v>
      </c>
      <c r="K107" s="183" t="s">
        <v>1</v>
      </c>
      <c r="L107" s="186">
        <v>1</v>
      </c>
      <c r="M107" s="190" t="s">
        <v>0</v>
      </c>
      <c r="N107" s="213">
        <f t="shared" si="12"/>
        <v>2.1</v>
      </c>
      <c r="O107" s="244" t="s">
        <v>420</v>
      </c>
      <c r="P107" s="184"/>
      <c r="Q107" s="197"/>
      <c r="R107" s="268"/>
      <c r="T107" s="168"/>
    </row>
    <row r="108" spans="1:30" ht="15" customHeight="1">
      <c r="A108" s="259"/>
      <c r="B108" s="185" t="s">
        <v>377</v>
      </c>
      <c r="C108" s="185"/>
      <c r="D108" s="185"/>
      <c r="E108" s="185"/>
      <c r="F108" s="234"/>
      <c r="G108" s="234"/>
      <c r="H108" s="203">
        <v>4</v>
      </c>
      <c r="I108" s="183" t="s">
        <v>1</v>
      </c>
      <c r="J108" s="186">
        <v>1.2</v>
      </c>
      <c r="K108" s="183" t="s">
        <v>1</v>
      </c>
      <c r="L108" s="186">
        <v>1.5</v>
      </c>
      <c r="M108" s="190" t="s">
        <v>0</v>
      </c>
      <c r="N108" s="213">
        <f t="shared" si="12"/>
        <v>7.1999999999999993</v>
      </c>
      <c r="O108" s="265" t="s">
        <v>420</v>
      </c>
      <c r="P108" s="184"/>
      <c r="Q108" s="197"/>
      <c r="R108" s="268"/>
      <c r="T108" s="168"/>
    </row>
    <row r="109" spans="1:30" ht="15" customHeight="1">
      <c r="A109" s="259"/>
      <c r="B109" s="185" t="s">
        <v>379</v>
      </c>
      <c r="C109" s="185"/>
      <c r="D109" s="185"/>
      <c r="E109" s="185"/>
      <c r="F109" s="185"/>
      <c r="G109" s="185"/>
      <c r="H109" s="203">
        <v>4</v>
      </c>
      <c r="I109" s="183" t="s">
        <v>1</v>
      </c>
      <c r="J109" s="186">
        <v>0.3</v>
      </c>
      <c r="K109" s="183" t="s">
        <v>1</v>
      </c>
      <c r="L109" s="186">
        <v>1.2</v>
      </c>
      <c r="M109" s="232" t="s">
        <v>0</v>
      </c>
      <c r="N109" s="189">
        <f>L109*J109*H109</f>
        <v>1.44</v>
      </c>
      <c r="O109" s="283" t="s">
        <v>420</v>
      </c>
      <c r="P109" s="184"/>
      <c r="Q109" s="197"/>
      <c r="R109" s="268"/>
      <c r="T109" s="168"/>
    </row>
    <row r="110" spans="1:30" ht="15" customHeight="1">
      <c r="A110" s="259"/>
      <c r="B110" s="185"/>
      <c r="C110" s="185"/>
      <c r="D110" s="185"/>
      <c r="E110" s="185"/>
      <c r="F110" s="185"/>
      <c r="G110" s="185"/>
      <c r="H110" s="185"/>
      <c r="I110" s="185"/>
      <c r="J110" s="185"/>
      <c r="K110" s="996" t="s">
        <v>8</v>
      </c>
      <c r="L110" s="996"/>
      <c r="M110" s="190" t="s">
        <v>0</v>
      </c>
      <c r="N110" s="204">
        <f>SUM(N106:N109)</f>
        <v>136.73999999999998</v>
      </c>
      <c r="O110" s="244" t="s">
        <v>423</v>
      </c>
      <c r="P110" s="184"/>
      <c r="Q110" s="197"/>
      <c r="R110" s="268"/>
      <c r="T110" s="168"/>
    </row>
    <row r="111" spans="1:30" ht="17.25">
      <c r="A111" s="263"/>
      <c r="B111" s="211"/>
      <c r="C111" s="211"/>
      <c r="D111" s="211"/>
      <c r="E111" s="211"/>
      <c r="F111" s="211"/>
      <c r="G111" s="211"/>
      <c r="H111" s="211"/>
      <c r="I111" s="190"/>
      <c r="J111" s="236"/>
      <c r="K111" s="183"/>
      <c r="L111" s="233" t="s">
        <v>8</v>
      </c>
      <c r="M111" s="201" t="s">
        <v>0</v>
      </c>
      <c r="N111" s="199">
        <f>N110</f>
        <v>136.73999999999998</v>
      </c>
      <c r="O111" s="265" t="s">
        <v>420</v>
      </c>
      <c r="P111" s="200"/>
      <c r="Q111" s="185"/>
      <c r="R111" s="244"/>
    </row>
    <row r="112" spans="1:30" ht="17.25">
      <c r="A112" s="244"/>
      <c r="B112" s="185"/>
      <c r="C112" s="185"/>
      <c r="D112" s="185"/>
      <c r="E112" s="182"/>
      <c r="F112" s="182"/>
      <c r="G112" s="182"/>
      <c r="H112" s="182"/>
      <c r="I112" s="182"/>
      <c r="J112" s="193" t="s">
        <v>350</v>
      </c>
      <c r="K112" s="194" t="s">
        <v>11</v>
      </c>
      <c r="L112" s="989">
        <v>817</v>
      </c>
      <c r="M112" s="989"/>
      <c r="N112" s="196" t="s">
        <v>421</v>
      </c>
      <c r="O112" s="262"/>
      <c r="P112" s="190" t="s">
        <v>0</v>
      </c>
      <c r="Q112" s="205" t="s">
        <v>11</v>
      </c>
      <c r="R112" s="269">
        <f>L112*N111</f>
        <v>111716.57999999999</v>
      </c>
    </row>
    <row r="113" spans="1:18">
      <c r="A113" s="244"/>
      <c r="B113" s="185"/>
      <c r="C113" s="185"/>
      <c r="D113" s="185"/>
      <c r="E113" s="182"/>
      <c r="F113" s="182"/>
      <c r="G113" s="182"/>
      <c r="H113" s="182"/>
      <c r="I113" s="182"/>
      <c r="J113" s="193"/>
      <c r="K113" s="292"/>
      <c r="L113" s="292"/>
      <c r="M113" s="292"/>
      <c r="N113" s="290"/>
      <c r="O113" s="294"/>
      <c r="P113" s="190"/>
      <c r="Q113" s="205"/>
      <c r="R113" s="269"/>
    </row>
    <row r="114" spans="1:18">
      <c r="A114" s="244"/>
      <c r="B114" s="185"/>
      <c r="C114" s="185"/>
      <c r="D114" s="185"/>
      <c r="E114" s="182"/>
      <c r="F114" s="182"/>
      <c r="G114" s="182"/>
      <c r="H114" s="182"/>
      <c r="I114" s="182"/>
      <c r="J114" s="193"/>
      <c r="K114" s="194"/>
      <c r="L114" s="194"/>
      <c r="M114" s="194"/>
      <c r="N114" s="196"/>
      <c r="O114" s="262"/>
      <c r="P114" s="190"/>
      <c r="Q114" s="205"/>
      <c r="R114" s="269"/>
    </row>
    <row r="115" spans="1:18" ht="36" customHeight="1">
      <c r="A115" s="298" t="s">
        <v>436</v>
      </c>
      <c r="B115" s="999" t="s">
        <v>363</v>
      </c>
      <c r="C115" s="999"/>
      <c r="D115" s="999"/>
      <c r="E115" s="999"/>
      <c r="F115" s="999"/>
      <c r="G115" s="999"/>
      <c r="H115" s="999"/>
      <c r="I115" s="999"/>
      <c r="J115" s="999"/>
      <c r="K115" s="999"/>
      <c r="L115" s="999"/>
      <c r="M115" s="999"/>
      <c r="N115" s="999"/>
      <c r="O115" s="999"/>
      <c r="P115" s="190"/>
      <c r="Q115" s="205"/>
      <c r="R115" s="269"/>
    </row>
    <row r="116" spans="1:18" ht="51.75" customHeight="1">
      <c r="A116" s="244"/>
      <c r="B116" s="1008" t="s">
        <v>443</v>
      </c>
      <c r="C116" s="1008"/>
      <c r="D116" s="1008"/>
      <c r="E116" s="1008"/>
      <c r="F116" s="1008" t="s">
        <v>424</v>
      </c>
      <c r="G116" s="1008"/>
      <c r="H116" s="1008"/>
      <c r="I116" s="190"/>
      <c r="J116" s="236">
        <v>2</v>
      </c>
      <c r="K116" s="183" t="s">
        <v>1</v>
      </c>
      <c r="L116" s="253">
        <f>N111</f>
        <v>136.73999999999998</v>
      </c>
      <c r="M116" s="190" t="s">
        <v>0</v>
      </c>
      <c r="N116" s="199">
        <f>L116*J116</f>
        <v>273.47999999999996</v>
      </c>
      <c r="O116" s="234" t="s">
        <v>420</v>
      </c>
      <c r="P116" s="200"/>
      <c r="Q116" s="185"/>
      <c r="R116" s="244"/>
    </row>
    <row r="117" spans="1:18" ht="18.75" customHeight="1">
      <c r="A117" s="244"/>
      <c r="B117" s="211" t="s">
        <v>380</v>
      </c>
      <c r="C117" s="211"/>
      <c r="D117" s="211"/>
      <c r="E117" s="211"/>
      <c r="F117" s="211"/>
      <c r="G117" s="211"/>
      <c r="H117" s="211"/>
      <c r="I117" s="190"/>
      <c r="J117" s="236">
        <v>8</v>
      </c>
      <c r="K117" s="183" t="s">
        <v>1</v>
      </c>
      <c r="L117" s="233">
        <v>1.35</v>
      </c>
      <c r="M117" s="188" t="s">
        <v>0</v>
      </c>
      <c r="N117" s="189">
        <f>L117*J117</f>
        <v>10.8</v>
      </c>
      <c r="O117" s="283" t="s">
        <v>420</v>
      </c>
      <c r="P117" s="200"/>
      <c r="Q117" s="185"/>
      <c r="R117" s="244"/>
    </row>
    <row r="118" spans="1:18" ht="18" customHeight="1">
      <c r="A118" s="244"/>
      <c r="B118" s="211"/>
      <c r="C118" s="211"/>
      <c r="D118" s="211"/>
      <c r="E118" s="211"/>
      <c r="F118" s="211"/>
      <c r="G118" s="211"/>
      <c r="H118" s="211"/>
      <c r="I118" s="190"/>
      <c r="J118" s="236"/>
      <c r="K118" s="183"/>
      <c r="L118" s="233" t="s">
        <v>8</v>
      </c>
      <c r="M118" s="293" t="s">
        <v>0</v>
      </c>
      <c r="N118" s="213">
        <f>SUM(N116:N117)</f>
        <v>284.27999999999997</v>
      </c>
      <c r="O118" s="265" t="s">
        <v>420</v>
      </c>
      <c r="P118" s="200"/>
      <c r="Q118" s="185"/>
      <c r="R118" s="244"/>
    </row>
    <row r="119" spans="1:18" ht="19.5" customHeight="1">
      <c r="A119" s="263"/>
      <c r="B119" s="185"/>
      <c r="C119" s="185"/>
      <c r="D119" s="185"/>
      <c r="E119" s="182"/>
      <c r="F119" s="182"/>
      <c r="G119" s="182"/>
      <c r="H119" s="182"/>
      <c r="I119" s="182"/>
      <c r="J119" s="193" t="s">
        <v>350</v>
      </c>
      <c r="K119" s="194" t="s">
        <v>11</v>
      </c>
      <c r="L119" s="989">
        <v>213</v>
      </c>
      <c r="M119" s="989"/>
      <c r="N119" s="196" t="s">
        <v>421</v>
      </c>
      <c r="O119" s="262"/>
      <c r="P119" s="190" t="s">
        <v>0</v>
      </c>
      <c r="Q119" s="205" t="s">
        <v>11</v>
      </c>
      <c r="R119" s="269">
        <f>L119*N118</f>
        <v>60551.639999999992</v>
      </c>
    </row>
    <row r="120" spans="1:18" ht="12.75" customHeight="1">
      <c r="A120" s="263"/>
      <c r="B120" s="185"/>
      <c r="C120" s="185"/>
      <c r="D120" s="185"/>
      <c r="E120" s="182"/>
      <c r="F120" s="182"/>
      <c r="G120" s="182"/>
      <c r="H120" s="182"/>
      <c r="I120" s="182"/>
      <c r="J120" s="193"/>
      <c r="K120" s="194"/>
      <c r="L120" s="194"/>
      <c r="M120" s="194"/>
      <c r="N120" s="196"/>
      <c r="O120" s="262"/>
      <c r="P120" s="190"/>
      <c r="Q120" s="205"/>
      <c r="R120" s="269"/>
    </row>
    <row r="121" spans="1:18" ht="12.75" customHeight="1">
      <c r="A121" s="263"/>
      <c r="B121" s="185"/>
      <c r="C121" s="185"/>
      <c r="D121" s="185"/>
      <c r="E121" s="182"/>
      <c r="F121" s="182"/>
      <c r="G121" s="182"/>
      <c r="H121" s="182"/>
      <c r="I121" s="182"/>
      <c r="J121" s="193"/>
      <c r="K121" s="292"/>
      <c r="L121" s="292"/>
      <c r="M121" s="292"/>
      <c r="N121" s="290"/>
      <c r="O121" s="294"/>
      <c r="P121" s="190"/>
      <c r="Q121" s="205"/>
      <c r="R121" s="269"/>
    </row>
    <row r="122" spans="1:18" ht="12.75" customHeight="1">
      <c r="A122" s="263"/>
      <c r="B122" s="185"/>
      <c r="C122" s="185"/>
      <c r="D122" s="185"/>
      <c r="E122" s="182"/>
      <c r="F122" s="182"/>
      <c r="G122" s="182"/>
      <c r="H122" s="182"/>
      <c r="I122" s="182"/>
      <c r="J122" s="193"/>
      <c r="K122" s="292"/>
      <c r="L122" s="292"/>
      <c r="M122" s="292"/>
      <c r="N122" s="290"/>
      <c r="O122" s="294"/>
      <c r="P122" s="190"/>
      <c r="Q122" s="205"/>
      <c r="R122" s="269"/>
    </row>
    <row r="123" spans="1:18" ht="12.75" customHeight="1">
      <c r="A123" s="263"/>
      <c r="B123" s="185"/>
      <c r="C123" s="185"/>
      <c r="D123" s="185"/>
      <c r="E123" s="182"/>
      <c r="F123" s="182"/>
      <c r="G123" s="182"/>
      <c r="H123" s="182"/>
      <c r="I123" s="182"/>
      <c r="J123" s="193"/>
      <c r="K123" s="292"/>
      <c r="L123" s="292"/>
      <c r="M123" s="292"/>
      <c r="N123" s="290"/>
      <c r="O123" s="294"/>
      <c r="P123" s="190"/>
      <c r="Q123" s="205"/>
      <c r="R123" s="269"/>
    </row>
    <row r="124" spans="1:18" ht="12.75" customHeight="1">
      <c r="A124" s="263"/>
      <c r="B124" s="185"/>
      <c r="C124" s="185"/>
      <c r="D124" s="185"/>
      <c r="E124" s="182"/>
      <c r="F124" s="182"/>
      <c r="G124" s="182"/>
      <c r="H124" s="182"/>
      <c r="I124" s="182"/>
      <c r="J124" s="193"/>
      <c r="K124" s="292"/>
      <c r="L124" s="292"/>
      <c r="M124" s="292"/>
      <c r="N124" s="290"/>
      <c r="O124" s="294"/>
      <c r="P124" s="190"/>
      <c r="Q124" s="205"/>
      <c r="R124" s="269"/>
    </row>
    <row r="125" spans="1:18" ht="12.75" customHeight="1">
      <c r="A125" s="263"/>
      <c r="B125" s="185"/>
      <c r="C125" s="185"/>
      <c r="D125" s="185"/>
      <c r="E125" s="182"/>
      <c r="F125" s="182"/>
      <c r="G125" s="182"/>
      <c r="H125" s="182"/>
      <c r="I125" s="182"/>
      <c r="J125" s="193"/>
      <c r="K125" s="292"/>
      <c r="L125" s="292"/>
      <c r="M125" s="292"/>
      <c r="N125" s="290"/>
      <c r="O125" s="294"/>
      <c r="P125" s="190"/>
      <c r="Q125" s="205"/>
      <c r="R125" s="269"/>
    </row>
    <row r="126" spans="1:18" ht="12.75" customHeight="1">
      <c r="A126" s="263"/>
      <c r="B126" s="185"/>
      <c r="C126" s="185"/>
      <c r="D126" s="185"/>
      <c r="E126" s="182"/>
      <c r="F126" s="182"/>
      <c r="G126" s="182"/>
      <c r="H126" s="182"/>
      <c r="I126" s="182"/>
      <c r="J126" s="193"/>
      <c r="K126" s="292"/>
      <c r="L126" s="292"/>
      <c r="M126" s="292"/>
      <c r="N126" s="290"/>
      <c r="O126" s="294"/>
      <c r="P126" s="190"/>
      <c r="Q126" s="205"/>
      <c r="R126" s="269"/>
    </row>
    <row r="127" spans="1:18" ht="12.75" customHeight="1">
      <c r="A127" s="263"/>
      <c r="B127" s="185"/>
      <c r="C127" s="185"/>
      <c r="D127" s="185"/>
      <c r="E127" s="182"/>
      <c r="F127" s="182"/>
      <c r="G127" s="182"/>
      <c r="H127" s="182"/>
      <c r="I127" s="182"/>
      <c r="J127" s="193"/>
      <c r="K127" s="292"/>
      <c r="L127" s="292"/>
      <c r="M127" s="292"/>
      <c r="N127" s="290"/>
      <c r="O127" s="294"/>
      <c r="P127" s="190"/>
      <c r="Q127" s="205"/>
      <c r="R127" s="269"/>
    </row>
    <row r="128" spans="1:18" ht="12.75" customHeight="1">
      <c r="A128" s="263"/>
      <c r="B128" s="185"/>
      <c r="C128" s="185"/>
      <c r="D128" s="185"/>
      <c r="E128" s="182"/>
      <c r="F128" s="182"/>
      <c r="G128" s="182"/>
      <c r="H128" s="182"/>
      <c r="I128" s="182"/>
      <c r="J128" s="193"/>
      <c r="K128" s="292"/>
      <c r="L128" s="292"/>
      <c r="M128" s="292"/>
      <c r="N128" s="290"/>
      <c r="O128" s="294"/>
      <c r="P128" s="190"/>
      <c r="Q128" s="205"/>
      <c r="R128" s="269"/>
    </row>
    <row r="129" spans="1:22" ht="15.75" customHeight="1">
      <c r="A129" s="263"/>
      <c r="B129" s="185"/>
      <c r="C129" s="185"/>
      <c r="D129" s="185"/>
      <c r="E129" s="182"/>
      <c r="F129" s="182"/>
      <c r="G129" s="182"/>
      <c r="H129" s="182"/>
      <c r="I129" s="182"/>
      <c r="J129" s="193"/>
      <c r="K129" s="292"/>
      <c r="L129" s="292"/>
      <c r="M129" s="292"/>
      <c r="N129" s="290"/>
      <c r="O129" s="281" t="s">
        <v>24</v>
      </c>
      <c r="P129" s="251" t="s">
        <v>0</v>
      </c>
      <c r="Q129" s="252" t="s">
        <v>11</v>
      </c>
      <c r="R129" s="273">
        <f>SUM(R89:R128)</f>
        <v>647079.22</v>
      </c>
    </row>
    <row r="130" spans="1:22" ht="15" customHeight="1">
      <c r="A130" s="263"/>
      <c r="B130" s="185"/>
      <c r="C130" s="185"/>
      <c r="D130" s="185"/>
      <c r="E130" s="182"/>
      <c r="F130" s="182"/>
      <c r="G130" s="182"/>
      <c r="H130" s="182"/>
      <c r="I130" s="182"/>
      <c r="J130" s="193"/>
      <c r="K130" s="292"/>
      <c r="L130" s="292"/>
      <c r="M130" s="292"/>
      <c r="N130" s="290"/>
      <c r="O130" s="281" t="s">
        <v>25</v>
      </c>
      <c r="P130" s="251" t="s">
        <v>0</v>
      </c>
      <c r="Q130" s="252" t="s">
        <v>11</v>
      </c>
      <c r="R130" s="273">
        <f>R129</f>
        <v>647079.22</v>
      </c>
    </row>
    <row r="131" spans="1:22" ht="15" customHeight="1">
      <c r="A131" s="263"/>
      <c r="B131" s="185"/>
      <c r="C131" s="185"/>
      <c r="D131" s="185"/>
      <c r="E131" s="182"/>
      <c r="F131" s="182"/>
      <c r="G131" s="182"/>
      <c r="H131" s="182"/>
      <c r="I131" s="182"/>
      <c r="J131" s="193"/>
      <c r="K131" s="292"/>
      <c r="L131" s="292"/>
      <c r="M131" s="292"/>
      <c r="N131" s="290"/>
      <c r="O131" s="281"/>
      <c r="P131" s="251"/>
      <c r="Q131" s="252"/>
      <c r="R131" s="273"/>
    </row>
    <row r="132" spans="1:22" ht="15" customHeight="1">
      <c r="A132" s="263"/>
      <c r="B132" s="185"/>
      <c r="C132" s="185"/>
      <c r="D132" s="185"/>
      <c r="E132" s="182"/>
      <c r="F132" s="182"/>
      <c r="G132" s="182"/>
      <c r="H132" s="182"/>
      <c r="I132" s="182"/>
      <c r="J132" s="193"/>
      <c r="K132" s="292"/>
      <c r="L132" s="292"/>
      <c r="M132" s="292"/>
      <c r="N132" s="290"/>
      <c r="O132" s="281"/>
      <c r="P132" s="251"/>
      <c r="Q132" s="252"/>
      <c r="R132" s="273"/>
    </row>
    <row r="133" spans="1:22" ht="50.25" customHeight="1">
      <c r="A133" s="298" t="s">
        <v>437</v>
      </c>
      <c r="B133" s="999" t="s">
        <v>364</v>
      </c>
      <c r="C133" s="999"/>
      <c r="D133" s="999"/>
      <c r="E133" s="999"/>
      <c r="F133" s="999"/>
      <c r="G133" s="999"/>
      <c r="H133" s="999"/>
      <c r="I133" s="999"/>
      <c r="J133" s="999"/>
      <c r="K133" s="999"/>
      <c r="L133" s="999"/>
      <c r="M133" s="999"/>
      <c r="N133" s="999"/>
      <c r="O133" s="999"/>
      <c r="P133" s="192"/>
      <c r="Q133" s="205"/>
      <c r="R133" s="269"/>
    </row>
    <row r="134" spans="1:22" ht="18" customHeight="1">
      <c r="A134" s="262"/>
      <c r="B134" s="202" t="s">
        <v>365</v>
      </c>
      <c r="C134" s="202"/>
      <c r="D134" s="192"/>
      <c r="E134" s="192"/>
      <c r="F134" s="237"/>
      <c r="G134" s="205"/>
      <c r="H134" s="192"/>
      <c r="I134" s="238"/>
      <c r="J134" s="239"/>
      <c r="K134" s="237"/>
      <c r="L134" s="191"/>
      <c r="M134" s="191"/>
      <c r="N134" s="240"/>
      <c r="O134" s="262"/>
      <c r="P134" s="190"/>
      <c r="Q134" s="205"/>
      <c r="R134" s="269"/>
      <c r="U134" s="180"/>
      <c r="V134" s="178"/>
    </row>
    <row r="135" spans="1:22" ht="15" customHeight="1">
      <c r="A135" s="260"/>
      <c r="B135" s="1076" t="s">
        <v>366</v>
      </c>
      <c r="C135" s="1076"/>
      <c r="D135" s="241"/>
      <c r="E135" s="241"/>
      <c r="F135" s="241"/>
      <c r="G135" s="241"/>
      <c r="H135" s="241"/>
      <c r="I135" s="241"/>
      <c r="J135" s="241"/>
      <c r="K135" s="241"/>
      <c r="L135" s="241"/>
      <c r="M135" s="241"/>
      <c r="N135" s="241"/>
      <c r="O135" s="284"/>
      <c r="P135" s="190"/>
      <c r="Q135" s="205"/>
      <c r="R135" s="269"/>
    </row>
    <row r="136" spans="1:22" ht="18.75" customHeight="1">
      <c r="A136" s="262"/>
      <c r="B136" s="192" t="s">
        <v>382</v>
      </c>
      <c r="C136" s="192"/>
      <c r="D136" s="231"/>
      <c r="E136" s="183"/>
      <c r="F136" s="183">
        <v>1</v>
      </c>
      <c r="G136" s="183" t="s">
        <v>1</v>
      </c>
      <c r="H136" s="186">
        <v>4.95</v>
      </c>
      <c r="I136" s="183" t="s">
        <v>1</v>
      </c>
      <c r="J136" s="186">
        <v>0.15</v>
      </c>
      <c r="K136" s="183" t="s">
        <v>1</v>
      </c>
      <c r="L136" s="186">
        <v>0.15</v>
      </c>
      <c r="M136" s="188" t="s">
        <v>0</v>
      </c>
      <c r="N136" s="189">
        <f>ROUND(F136*H136*J136*L136,2)</f>
        <v>0.11</v>
      </c>
      <c r="O136" s="278" t="s">
        <v>418</v>
      </c>
      <c r="P136" s="190"/>
      <c r="Q136" s="205"/>
      <c r="R136" s="269"/>
      <c r="V136" s="168"/>
    </row>
    <row r="137" spans="1:22" ht="15" customHeight="1">
      <c r="A137" s="262"/>
      <c r="B137" s="192"/>
      <c r="C137" s="192"/>
      <c r="D137" s="192"/>
      <c r="E137" s="192"/>
      <c r="F137" s="237"/>
      <c r="G137" s="205"/>
      <c r="H137" s="192"/>
      <c r="I137" s="238"/>
      <c r="J137" s="239"/>
      <c r="K137" s="996" t="s">
        <v>8</v>
      </c>
      <c r="L137" s="996"/>
      <c r="M137" s="190" t="s">
        <v>0</v>
      </c>
      <c r="N137" s="204">
        <f>SUM(N136:N136)</f>
        <v>0.11</v>
      </c>
      <c r="O137" s="262" t="s">
        <v>418</v>
      </c>
      <c r="P137" s="190"/>
      <c r="Q137" s="205"/>
      <c r="R137" s="269"/>
    </row>
    <row r="138" spans="1:22" ht="15.75" customHeight="1">
      <c r="A138" s="263"/>
      <c r="B138" s="182"/>
      <c r="C138" s="182"/>
      <c r="D138" s="182"/>
      <c r="E138" s="182"/>
      <c r="F138" s="182"/>
      <c r="G138" s="182"/>
      <c r="H138" s="182"/>
      <c r="I138" s="182"/>
      <c r="J138" s="193" t="s">
        <v>350</v>
      </c>
      <c r="K138" s="194" t="s">
        <v>11</v>
      </c>
      <c r="L138" s="1006">
        <v>70458</v>
      </c>
      <c r="M138" s="1006"/>
      <c r="N138" s="196" t="s">
        <v>419</v>
      </c>
      <c r="O138" s="262"/>
      <c r="P138" s="184" t="s">
        <v>0</v>
      </c>
      <c r="Q138" s="197" t="s">
        <v>11</v>
      </c>
      <c r="R138" s="268">
        <f>ROUND(N137*L138,0)</f>
        <v>7750</v>
      </c>
    </row>
    <row r="139" spans="1:22" ht="12.75" customHeight="1">
      <c r="A139" s="263"/>
      <c r="B139" s="182"/>
      <c r="C139" s="182"/>
      <c r="D139" s="182"/>
      <c r="E139" s="182"/>
      <c r="F139" s="182"/>
      <c r="G139" s="182"/>
      <c r="H139" s="182"/>
      <c r="I139" s="182"/>
      <c r="J139" s="193"/>
      <c r="K139" s="292"/>
      <c r="L139" s="296"/>
      <c r="M139" s="296"/>
      <c r="N139" s="290"/>
      <c r="O139" s="294"/>
      <c r="P139" s="184"/>
      <c r="Q139" s="197"/>
      <c r="R139" s="268"/>
    </row>
    <row r="140" spans="1:22" ht="46.5" customHeight="1">
      <c r="A140" s="298" t="s">
        <v>438</v>
      </c>
      <c r="B140" s="999" t="s">
        <v>367</v>
      </c>
      <c r="C140" s="999"/>
      <c r="D140" s="999"/>
      <c r="E140" s="999"/>
      <c r="F140" s="999"/>
      <c r="G140" s="999"/>
      <c r="H140" s="999"/>
      <c r="I140" s="999"/>
      <c r="J140" s="999"/>
      <c r="K140" s="999"/>
      <c r="L140" s="999"/>
      <c r="M140" s="999"/>
      <c r="N140" s="999"/>
      <c r="O140" s="999"/>
      <c r="P140" s="192"/>
      <c r="Q140" s="205"/>
      <c r="R140" s="269"/>
    </row>
    <row r="141" spans="1:22" ht="34.5" customHeight="1">
      <c r="A141" s="259"/>
      <c r="B141" s="993" t="s">
        <v>371</v>
      </c>
      <c r="C141" s="993"/>
      <c r="D141" s="993"/>
      <c r="E141" s="993"/>
      <c r="F141" s="993"/>
      <c r="G141" s="993"/>
      <c r="H141" s="993"/>
      <c r="I141" s="206"/>
      <c r="J141" s="206"/>
      <c r="K141" s="206"/>
      <c r="L141" s="206"/>
      <c r="M141" s="206"/>
      <c r="N141" s="206"/>
      <c r="O141" s="245"/>
      <c r="P141" s="192"/>
      <c r="Q141" s="205"/>
      <c r="R141" s="269"/>
      <c r="U141" s="181"/>
    </row>
    <row r="142" spans="1:22" ht="15" customHeight="1">
      <c r="A142" s="262"/>
      <c r="B142" s="192" t="s">
        <v>382</v>
      </c>
      <c r="C142" s="192"/>
      <c r="D142" s="192"/>
      <c r="E142" s="192"/>
      <c r="F142" s="242"/>
      <c r="G142" s="243"/>
      <c r="H142" s="203">
        <f>F136</f>
        <v>1</v>
      </c>
      <c r="I142" s="183" t="s">
        <v>1</v>
      </c>
      <c r="J142" s="186">
        <v>2.1</v>
      </c>
      <c r="K142" s="183" t="s">
        <v>1</v>
      </c>
      <c r="L142" s="186">
        <v>1.5</v>
      </c>
      <c r="M142" s="188" t="s">
        <v>0</v>
      </c>
      <c r="N142" s="189">
        <f t="shared" ref="N142" si="13">L142*J142*H142</f>
        <v>3.1500000000000004</v>
      </c>
      <c r="O142" s="265" t="s">
        <v>420</v>
      </c>
      <c r="P142" s="192"/>
      <c r="Q142" s="205"/>
      <c r="R142" s="269"/>
    </row>
    <row r="143" spans="1:22" ht="18" customHeight="1">
      <c r="A143" s="262"/>
      <c r="B143" s="192"/>
      <c r="C143" s="192"/>
      <c r="D143" s="192"/>
      <c r="E143" s="192"/>
      <c r="F143" s="242"/>
      <c r="G143" s="243"/>
      <c r="H143" s="203"/>
      <c r="I143" s="183"/>
      <c r="J143" s="186"/>
      <c r="K143" s="183"/>
      <c r="L143" s="186" t="s">
        <v>8</v>
      </c>
      <c r="M143" s="201" t="s">
        <v>0</v>
      </c>
      <c r="N143" s="213">
        <f>SUM(N142:N142)</f>
        <v>3.1500000000000004</v>
      </c>
      <c r="O143" s="265" t="s">
        <v>420</v>
      </c>
      <c r="P143" s="192"/>
      <c r="Q143" s="205"/>
      <c r="R143" s="269"/>
    </row>
    <row r="144" spans="1:22" ht="17.25">
      <c r="A144" s="263"/>
      <c r="B144" s="182"/>
      <c r="C144" s="182"/>
      <c r="D144" s="182"/>
      <c r="E144" s="182"/>
      <c r="F144" s="182"/>
      <c r="G144" s="182"/>
      <c r="H144" s="182"/>
      <c r="I144" s="182"/>
      <c r="J144" s="193" t="s">
        <v>350</v>
      </c>
      <c r="K144" s="194" t="s">
        <v>11</v>
      </c>
      <c r="L144" s="989">
        <v>5131</v>
      </c>
      <c r="M144" s="989"/>
      <c r="N144" s="196" t="s">
        <v>421</v>
      </c>
      <c r="O144" s="262"/>
      <c r="P144" s="184" t="s">
        <v>0</v>
      </c>
      <c r="Q144" s="197" t="s">
        <v>11</v>
      </c>
      <c r="R144" s="268">
        <f>L144*N143</f>
        <v>16162.650000000001</v>
      </c>
    </row>
    <row r="145" spans="1:18">
      <c r="A145" s="263"/>
      <c r="B145" s="182"/>
      <c r="C145" s="182"/>
      <c r="D145" s="182"/>
      <c r="E145" s="182"/>
      <c r="F145" s="182"/>
      <c r="G145" s="182"/>
      <c r="H145" s="182"/>
      <c r="I145" s="182"/>
      <c r="J145" s="193"/>
      <c r="K145" s="194"/>
      <c r="L145" s="194"/>
      <c r="M145" s="194"/>
      <c r="N145" s="196"/>
      <c r="O145" s="262"/>
      <c r="P145" s="184"/>
      <c r="Q145" s="197"/>
      <c r="R145" s="268"/>
    </row>
    <row r="146" spans="1:18" ht="83.25" customHeight="1">
      <c r="A146" s="298" t="s">
        <v>439</v>
      </c>
      <c r="B146" s="999" t="s">
        <v>413</v>
      </c>
      <c r="C146" s="999"/>
      <c r="D146" s="999"/>
      <c r="E146" s="999"/>
      <c r="F146" s="999"/>
      <c r="G146" s="999"/>
      <c r="H146" s="999"/>
      <c r="I146" s="999"/>
      <c r="J146" s="999"/>
      <c r="K146" s="999"/>
      <c r="L146" s="999"/>
      <c r="M146" s="999"/>
      <c r="N146" s="999"/>
      <c r="O146" s="999"/>
      <c r="P146" s="192"/>
      <c r="Q146" s="205"/>
      <c r="R146" s="269"/>
    </row>
    <row r="147" spans="1:18" ht="21" customHeight="1">
      <c r="A147" s="259"/>
      <c r="B147" s="1075" t="s">
        <v>372</v>
      </c>
      <c r="C147" s="1075"/>
      <c r="D147" s="1075"/>
      <c r="E147" s="1075"/>
      <c r="F147" s="1075"/>
      <c r="G147" s="1075"/>
      <c r="H147" s="1075"/>
      <c r="I147" s="206"/>
      <c r="J147" s="206"/>
      <c r="K147" s="206"/>
      <c r="L147" s="206"/>
      <c r="M147" s="206"/>
      <c r="N147" s="206"/>
      <c r="O147" s="245"/>
      <c r="P147" s="192"/>
      <c r="Q147" s="205"/>
      <c r="R147" s="269"/>
    </row>
    <row r="148" spans="1:18" ht="18.75" customHeight="1">
      <c r="A148" s="244"/>
      <c r="B148" s="211" t="s">
        <v>383</v>
      </c>
      <c r="C148" s="185"/>
      <c r="D148" s="185"/>
      <c r="E148" s="185"/>
      <c r="F148" s="185"/>
      <c r="G148" s="185"/>
      <c r="H148" s="203">
        <v>4</v>
      </c>
      <c r="I148" s="183" t="s">
        <v>1</v>
      </c>
      <c r="J148" s="186">
        <v>1.2</v>
      </c>
      <c r="K148" s="183" t="s">
        <v>1</v>
      </c>
      <c r="L148" s="186">
        <v>1.5</v>
      </c>
      <c r="M148" s="188" t="s">
        <v>0</v>
      </c>
      <c r="N148" s="189">
        <f>L148*J148*H148</f>
        <v>7.1999999999999993</v>
      </c>
      <c r="O148" s="283" t="s">
        <v>420</v>
      </c>
      <c r="P148" s="185"/>
      <c r="Q148" s="185"/>
      <c r="R148" s="244"/>
    </row>
    <row r="149" spans="1:18" ht="18" customHeight="1">
      <c r="A149" s="244"/>
      <c r="B149" s="185"/>
      <c r="C149" s="185"/>
      <c r="D149" s="185"/>
      <c r="E149" s="185"/>
      <c r="F149" s="185"/>
      <c r="G149" s="185"/>
      <c r="H149" s="185"/>
      <c r="I149" s="185"/>
      <c r="J149" s="185"/>
      <c r="K149" s="996" t="s">
        <v>8</v>
      </c>
      <c r="L149" s="996"/>
      <c r="M149" s="190" t="s">
        <v>0</v>
      </c>
      <c r="N149" s="204">
        <f>SUM(N148:N148)</f>
        <v>7.1999999999999993</v>
      </c>
      <c r="O149" s="244" t="s">
        <v>420</v>
      </c>
      <c r="P149" s="185"/>
      <c r="Q149" s="185"/>
      <c r="R149" s="244"/>
    </row>
    <row r="150" spans="1:18" ht="15" customHeight="1">
      <c r="A150" s="263"/>
      <c r="B150" s="182"/>
      <c r="C150" s="182"/>
      <c r="D150" s="182"/>
      <c r="E150" s="182"/>
      <c r="F150" s="182"/>
      <c r="G150" s="182"/>
      <c r="H150" s="182"/>
      <c r="I150" s="182"/>
      <c r="J150" s="193" t="s">
        <v>350</v>
      </c>
      <c r="K150" s="194" t="s">
        <v>11</v>
      </c>
      <c r="L150" s="989">
        <v>3457</v>
      </c>
      <c r="M150" s="989"/>
      <c r="N150" s="196" t="s">
        <v>421</v>
      </c>
      <c r="O150" s="262"/>
      <c r="P150" s="190" t="s">
        <v>0</v>
      </c>
      <c r="Q150" s="205" t="s">
        <v>11</v>
      </c>
      <c r="R150" s="269">
        <f>ROUND(N149*L150,0)</f>
        <v>24890</v>
      </c>
    </row>
    <row r="151" spans="1:18" ht="15" customHeight="1">
      <c r="A151" s="263"/>
      <c r="B151" s="182"/>
      <c r="C151" s="182"/>
      <c r="D151" s="182"/>
      <c r="E151" s="182"/>
      <c r="F151" s="182"/>
      <c r="G151" s="182"/>
      <c r="H151" s="182"/>
      <c r="I151" s="182"/>
      <c r="J151" s="193"/>
      <c r="K151" s="194"/>
      <c r="L151" s="194"/>
      <c r="M151" s="194"/>
      <c r="N151" s="196"/>
      <c r="O151" s="262"/>
      <c r="P151" s="190"/>
      <c r="Q151" s="205"/>
      <c r="R151" s="269"/>
    </row>
    <row r="152" spans="1:18" ht="15" customHeight="1">
      <c r="A152" s="1008" t="s">
        <v>440</v>
      </c>
      <c r="B152" s="1002" t="s">
        <v>414</v>
      </c>
      <c r="C152" s="1002"/>
      <c r="D152" s="1002"/>
      <c r="E152" s="1002"/>
      <c r="F152" s="1002"/>
      <c r="G152" s="1002"/>
      <c r="H152" s="1002"/>
      <c r="I152" s="1002"/>
      <c r="J152" s="1002"/>
      <c r="K152" s="1002"/>
      <c r="L152" s="1002"/>
      <c r="M152" s="1002"/>
      <c r="N152" s="1002"/>
      <c r="O152" s="279"/>
      <c r="P152" s="207"/>
      <c r="Q152" s="208"/>
      <c r="R152" s="274"/>
    </row>
    <row r="153" spans="1:18" ht="36.75" customHeight="1">
      <c r="A153" s="1008"/>
      <c r="B153" s="1002"/>
      <c r="C153" s="1002"/>
      <c r="D153" s="1002"/>
      <c r="E153" s="1002"/>
      <c r="F153" s="1002"/>
      <c r="G153" s="1002"/>
      <c r="H153" s="1002"/>
      <c r="I153" s="1002"/>
      <c r="J153" s="1002"/>
      <c r="K153" s="1002"/>
      <c r="L153" s="1002"/>
      <c r="M153" s="1002"/>
      <c r="N153" s="1002"/>
      <c r="O153" s="279"/>
      <c r="P153" s="207"/>
      <c r="Q153" s="208"/>
      <c r="R153" s="274"/>
    </row>
    <row r="154" spans="1:18" ht="15" customHeight="1">
      <c r="A154" s="263"/>
      <c r="B154" s="182"/>
      <c r="C154" s="182"/>
      <c r="D154" s="182"/>
      <c r="E154" s="182"/>
      <c r="F154" s="182"/>
      <c r="G154" s="182"/>
      <c r="H154" s="182"/>
      <c r="I154" s="182"/>
      <c r="J154" s="193"/>
      <c r="K154" s="194"/>
      <c r="L154" s="194"/>
      <c r="M154" s="194"/>
      <c r="N154" s="196"/>
      <c r="O154" s="279"/>
      <c r="P154" s="207"/>
      <c r="Q154" s="208"/>
      <c r="R154" s="274"/>
    </row>
    <row r="155" spans="1:18" ht="15" customHeight="1">
      <c r="A155" s="263"/>
      <c r="B155" s="1075" t="s">
        <v>372</v>
      </c>
      <c r="C155" s="1075"/>
      <c r="D155" s="1075"/>
      <c r="E155" s="1075"/>
      <c r="F155" s="1075"/>
      <c r="G155" s="1075"/>
      <c r="H155" s="1075"/>
      <c r="I155" s="206"/>
      <c r="J155" s="206"/>
      <c r="K155" s="206"/>
      <c r="L155" s="206"/>
      <c r="M155" s="206"/>
      <c r="N155" s="206"/>
      <c r="O155" s="245"/>
      <c r="P155" s="207"/>
      <c r="Q155" s="208"/>
      <c r="R155" s="274"/>
    </row>
    <row r="156" spans="1:18" ht="15" customHeight="1">
      <c r="A156" s="263"/>
      <c r="B156" s="211" t="s">
        <v>383</v>
      </c>
      <c r="C156" s="185"/>
      <c r="D156" s="185"/>
      <c r="E156" s="185"/>
      <c r="F156" s="244"/>
      <c r="G156" s="185"/>
      <c r="H156" s="203">
        <f>H148</f>
        <v>4</v>
      </c>
      <c r="I156" s="183" t="s">
        <v>1</v>
      </c>
      <c r="J156" s="186">
        <v>1.2</v>
      </c>
      <c r="K156" s="183" t="s">
        <v>1</v>
      </c>
      <c r="L156" s="186">
        <v>1.5</v>
      </c>
      <c r="M156" s="188" t="s">
        <v>0</v>
      </c>
      <c r="N156" s="189">
        <f>L156*J156*H156</f>
        <v>7.1999999999999993</v>
      </c>
      <c r="O156" s="283" t="s">
        <v>420</v>
      </c>
      <c r="P156" s="207"/>
      <c r="Q156" s="208"/>
      <c r="R156" s="274"/>
    </row>
    <row r="157" spans="1:18" ht="15" customHeight="1">
      <c r="A157" s="263"/>
      <c r="B157" s="182"/>
      <c r="C157" s="182"/>
      <c r="D157" s="182"/>
      <c r="E157" s="182"/>
      <c r="F157" s="182"/>
      <c r="G157" s="182"/>
      <c r="H157" s="182"/>
      <c r="I157" s="182"/>
      <c r="J157" s="185"/>
      <c r="K157" s="996" t="s">
        <v>8</v>
      </c>
      <c r="L157" s="996"/>
      <c r="M157" s="190" t="s">
        <v>0</v>
      </c>
      <c r="N157" s="204">
        <f>SUM(N156)</f>
        <v>7.1999999999999993</v>
      </c>
      <c r="O157" s="244" t="s">
        <v>420</v>
      </c>
      <c r="P157" s="185"/>
      <c r="Q157" s="185"/>
      <c r="R157" s="244"/>
    </row>
    <row r="158" spans="1:18" ht="15" customHeight="1">
      <c r="A158" s="263"/>
      <c r="B158" s="182"/>
      <c r="C158" s="182"/>
      <c r="D158" s="182"/>
      <c r="E158" s="182"/>
      <c r="F158" s="182"/>
      <c r="G158" s="182"/>
      <c r="H158" s="182"/>
      <c r="I158" s="182"/>
      <c r="J158" s="193" t="s">
        <v>350</v>
      </c>
      <c r="K158" s="194" t="s">
        <v>11</v>
      </c>
      <c r="L158" s="989">
        <v>1093</v>
      </c>
      <c r="M158" s="989"/>
      <c r="N158" s="196" t="s">
        <v>421</v>
      </c>
      <c r="O158" s="262"/>
      <c r="P158" s="190" t="s">
        <v>0</v>
      </c>
      <c r="Q158" s="205" t="s">
        <v>11</v>
      </c>
      <c r="R158" s="269">
        <f>ROUND(N157*L158,0)</f>
        <v>7870</v>
      </c>
    </row>
    <row r="159" spans="1:18" ht="15" customHeight="1">
      <c r="A159" s="263"/>
      <c r="B159" s="182"/>
      <c r="C159" s="182"/>
      <c r="D159" s="182"/>
      <c r="E159" s="182"/>
      <c r="F159" s="182"/>
      <c r="G159" s="182"/>
      <c r="H159" s="182"/>
      <c r="I159" s="182"/>
      <c r="J159" s="193"/>
      <c r="K159" s="292"/>
      <c r="L159" s="292"/>
      <c r="M159" s="292"/>
      <c r="N159" s="290"/>
      <c r="O159" s="294"/>
      <c r="P159" s="190"/>
      <c r="Q159" s="205"/>
      <c r="R159" s="269"/>
    </row>
    <row r="160" spans="1:18" ht="15" customHeight="1">
      <c r="A160" s="263"/>
      <c r="B160" s="182"/>
      <c r="C160" s="182"/>
      <c r="D160" s="182"/>
      <c r="E160" s="182"/>
      <c r="F160" s="182"/>
      <c r="G160" s="182"/>
      <c r="H160" s="182"/>
      <c r="I160" s="182"/>
      <c r="J160" s="193"/>
      <c r="K160" s="292"/>
      <c r="L160" s="292"/>
      <c r="M160" s="292"/>
      <c r="N160" s="290"/>
      <c r="O160" s="294"/>
      <c r="P160" s="190"/>
      <c r="Q160" s="205"/>
      <c r="R160" s="269"/>
    </row>
    <row r="161" spans="1:18" ht="15" customHeight="1">
      <c r="A161" s="263"/>
      <c r="B161" s="182"/>
      <c r="C161" s="182"/>
      <c r="D161" s="182"/>
      <c r="E161" s="182"/>
      <c r="F161" s="182"/>
      <c r="G161" s="182"/>
      <c r="H161" s="182"/>
      <c r="I161" s="182"/>
      <c r="J161" s="193"/>
      <c r="K161" s="292"/>
      <c r="L161" s="292"/>
      <c r="M161" s="292"/>
      <c r="N161" s="290"/>
      <c r="O161" s="294"/>
      <c r="P161" s="190"/>
      <c r="Q161" s="205"/>
      <c r="R161" s="269"/>
    </row>
    <row r="162" spans="1:18" ht="15" customHeight="1">
      <c r="A162" s="263"/>
      <c r="B162" s="182"/>
      <c r="C162" s="182"/>
      <c r="D162" s="182"/>
      <c r="E162" s="182"/>
      <c r="F162" s="182"/>
      <c r="G162" s="182"/>
      <c r="H162" s="182"/>
      <c r="I162" s="182"/>
      <c r="J162" s="193"/>
      <c r="K162" s="292"/>
      <c r="L162" s="292"/>
      <c r="M162" s="292"/>
      <c r="N162" s="290"/>
      <c r="O162" s="294"/>
      <c r="P162" s="190"/>
      <c r="Q162" s="205"/>
      <c r="R162" s="269"/>
    </row>
    <row r="163" spans="1:18" ht="15" customHeight="1">
      <c r="A163" s="263"/>
      <c r="B163" s="182"/>
      <c r="C163" s="182"/>
      <c r="D163" s="182"/>
      <c r="E163" s="182"/>
      <c r="F163" s="182"/>
      <c r="G163" s="182"/>
      <c r="H163" s="182"/>
      <c r="I163" s="182"/>
      <c r="J163" s="193"/>
      <c r="K163" s="292"/>
      <c r="L163" s="292"/>
      <c r="M163" s="292"/>
      <c r="N163" s="290"/>
      <c r="O163" s="294"/>
      <c r="P163" s="190"/>
      <c r="Q163" s="205"/>
      <c r="R163" s="269"/>
    </row>
    <row r="164" spans="1:18" ht="15" customHeight="1">
      <c r="A164" s="263"/>
      <c r="B164" s="182"/>
      <c r="C164" s="182"/>
      <c r="D164" s="182"/>
      <c r="E164" s="182"/>
      <c r="F164" s="182"/>
      <c r="G164" s="182"/>
      <c r="H164" s="182"/>
      <c r="I164" s="182"/>
      <c r="J164" s="193"/>
      <c r="K164" s="292"/>
      <c r="L164" s="292"/>
      <c r="M164" s="292"/>
      <c r="N164" s="290"/>
      <c r="O164" s="294"/>
      <c r="P164" s="190"/>
      <c r="Q164" s="205"/>
      <c r="R164" s="269"/>
    </row>
    <row r="165" spans="1:18" ht="15" customHeight="1">
      <c r="A165" s="263"/>
      <c r="B165" s="182"/>
      <c r="C165" s="182"/>
      <c r="D165" s="182"/>
      <c r="E165" s="182"/>
      <c r="F165" s="182"/>
      <c r="G165" s="182"/>
      <c r="H165" s="182"/>
      <c r="I165" s="182"/>
      <c r="J165" s="193"/>
      <c r="K165" s="292"/>
      <c r="L165" s="292"/>
      <c r="M165" s="292"/>
      <c r="N165" s="290"/>
      <c r="O165" s="294"/>
      <c r="P165" s="190"/>
      <c r="Q165" s="205"/>
      <c r="R165" s="269"/>
    </row>
    <row r="166" spans="1:18" ht="15" customHeight="1">
      <c r="A166" s="263"/>
      <c r="B166" s="182"/>
      <c r="C166" s="182"/>
      <c r="D166" s="182"/>
      <c r="E166" s="182"/>
      <c r="F166" s="182"/>
      <c r="G166" s="182"/>
      <c r="H166" s="182"/>
      <c r="I166" s="182"/>
      <c r="J166" s="193"/>
      <c r="K166" s="292"/>
      <c r="L166" s="292"/>
      <c r="M166" s="292"/>
      <c r="N166" s="290"/>
      <c r="O166" s="294"/>
      <c r="P166" s="190"/>
      <c r="Q166" s="205"/>
      <c r="R166" s="269"/>
    </row>
    <row r="167" spans="1:18" ht="15" customHeight="1">
      <c r="A167" s="263"/>
      <c r="B167" s="182"/>
      <c r="C167" s="182"/>
      <c r="D167" s="182"/>
      <c r="E167" s="182"/>
      <c r="F167" s="182"/>
      <c r="G167" s="182"/>
      <c r="H167" s="182"/>
      <c r="I167" s="182"/>
      <c r="J167" s="193"/>
      <c r="K167" s="292"/>
      <c r="L167" s="292"/>
      <c r="M167" s="292"/>
      <c r="N167" s="290"/>
      <c r="O167" s="294"/>
      <c r="P167" s="190"/>
      <c r="Q167" s="205"/>
      <c r="R167" s="269"/>
    </row>
    <row r="168" spans="1:18" ht="15" customHeight="1">
      <c r="A168" s="263"/>
      <c r="B168" s="182"/>
      <c r="C168" s="182"/>
      <c r="D168" s="182"/>
      <c r="E168" s="182"/>
      <c r="F168" s="182"/>
      <c r="G168" s="182"/>
      <c r="H168" s="182"/>
      <c r="I168" s="182"/>
      <c r="J168" s="193"/>
      <c r="K168" s="292"/>
      <c r="L168" s="292"/>
      <c r="M168" s="292"/>
      <c r="N168" s="290"/>
      <c r="O168" s="281" t="s">
        <v>24</v>
      </c>
      <c r="P168" s="251" t="s">
        <v>0</v>
      </c>
      <c r="Q168" s="252" t="s">
        <v>11</v>
      </c>
      <c r="R168" s="273">
        <f>SUM(R130:R167)</f>
        <v>703751.87</v>
      </c>
    </row>
    <row r="169" spans="1:18" ht="15" customHeight="1">
      <c r="A169" s="263"/>
      <c r="B169" s="182"/>
      <c r="C169" s="182"/>
      <c r="D169" s="182"/>
      <c r="E169" s="182"/>
      <c r="F169" s="182"/>
      <c r="G169" s="182"/>
      <c r="H169" s="182"/>
      <c r="I169" s="182"/>
      <c r="J169" s="193"/>
      <c r="K169" s="194"/>
      <c r="L169" s="194"/>
      <c r="M169" s="194"/>
      <c r="N169" s="196"/>
      <c r="O169" s="281" t="s">
        <v>25</v>
      </c>
      <c r="P169" s="251" t="s">
        <v>0</v>
      </c>
      <c r="Q169" s="252" t="s">
        <v>11</v>
      </c>
      <c r="R169" s="273">
        <f>R168</f>
        <v>703751.87</v>
      </c>
    </row>
    <row r="170" spans="1:18" ht="15" customHeight="1">
      <c r="A170" s="263"/>
      <c r="B170" s="182"/>
      <c r="C170" s="182"/>
      <c r="D170" s="182"/>
      <c r="E170" s="182"/>
      <c r="F170" s="182"/>
      <c r="G170" s="182"/>
      <c r="H170" s="182"/>
      <c r="I170" s="182"/>
      <c r="J170" s="193"/>
      <c r="K170" s="292"/>
      <c r="L170" s="292"/>
      <c r="M170" s="292"/>
      <c r="N170" s="290"/>
      <c r="O170" s="281"/>
      <c r="P170" s="251"/>
      <c r="Q170" s="252"/>
      <c r="R170" s="273"/>
    </row>
    <row r="171" spans="1:18" ht="48.75" customHeight="1">
      <c r="A171" s="298" t="s">
        <v>441</v>
      </c>
      <c r="B171" s="999" t="s">
        <v>373</v>
      </c>
      <c r="C171" s="999"/>
      <c r="D171" s="999"/>
      <c r="E171" s="999"/>
      <c r="F171" s="999"/>
      <c r="G171" s="999"/>
      <c r="H171" s="999"/>
      <c r="I171" s="999"/>
      <c r="J171" s="999"/>
      <c r="K171" s="999"/>
      <c r="L171" s="999"/>
      <c r="M171" s="999"/>
      <c r="N171" s="999"/>
      <c r="O171" s="999"/>
      <c r="P171" s="192"/>
      <c r="Q171" s="205"/>
      <c r="R171" s="269"/>
    </row>
    <row r="172" spans="1:18" ht="20.25" customHeight="1">
      <c r="A172" s="244"/>
      <c r="B172" s="211"/>
      <c r="C172" s="185"/>
      <c r="D172" s="185"/>
      <c r="E172" s="185"/>
      <c r="F172" s="185"/>
      <c r="G172" s="185"/>
      <c r="H172" s="203">
        <v>2</v>
      </c>
      <c r="I172" s="183" t="s">
        <v>1</v>
      </c>
      <c r="J172" s="256">
        <f>N110</f>
        <v>136.73999999999998</v>
      </c>
      <c r="K172" s="183" t="s">
        <v>1</v>
      </c>
      <c r="L172" s="186">
        <v>3</v>
      </c>
      <c r="M172" s="188" t="s">
        <v>0</v>
      </c>
      <c r="N172" s="189">
        <f>L172*J172*H172</f>
        <v>820.43999999999983</v>
      </c>
      <c r="O172" s="283" t="s">
        <v>420</v>
      </c>
      <c r="P172" s="185"/>
      <c r="Q172" s="185"/>
      <c r="R172" s="244"/>
    </row>
    <row r="173" spans="1:18" ht="16.5" customHeight="1">
      <c r="A173" s="244"/>
      <c r="B173" s="185"/>
      <c r="C173" s="185"/>
      <c r="D173" s="185"/>
      <c r="E173" s="185"/>
      <c r="F173" s="185"/>
      <c r="G173" s="185"/>
      <c r="H173" s="185"/>
      <c r="I173" s="185"/>
      <c r="J173" s="185"/>
      <c r="K173" s="996" t="s">
        <v>8</v>
      </c>
      <c r="L173" s="996"/>
      <c r="M173" s="190" t="s">
        <v>0</v>
      </c>
      <c r="N173" s="204">
        <f>SUM(N172)</f>
        <v>820.43999999999983</v>
      </c>
      <c r="O173" s="244" t="s">
        <v>420</v>
      </c>
      <c r="P173" s="185"/>
      <c r="Q173" s="185"/>
      <c r="R173" s="244"/>
    </row>
    <row r="174" spans="1:18" ht="15" customHeight="1">
      <c r="A174" s="263"/>
      <c r="B174" s="182"/>
      <c r="C174" s="182"/>
      <c r="D174" s="182"/>
      <c r="E174" s="182"/>
      <c r="F174" s="182"/>
      <c r="G174" s="182"/>
      <c r="H174" s="182"/>
      <c r="I174" s="182"/>
      <c r="J174" s="193" t="s">
        <v>350</v>
      </c>
      <c r="K174" s="194" t="s">
        <v>11</v>
      </c>
      <c r="L174" s="989">
        <v>67</v>
      </c>
      <c r="M174" s="989"/>
      <c r="N174" s="196" t="s">
        <v>421</v>
      </c>
      <c r="O174" s="262"/>
      <c r="P174" s="190" t="s">
        <v>0</v>
      </c>
      <c r="Q174" s="205" t="s">
        <v>11</v>
      </c>
      <c r="R174" s="269">
        <f>ROUND(N173*L174,0)</f>
        <v>54969</v>
      </c>
    </row>
    <row r="175" spans="1:18" ht="15" customHeight="1">
      <c r="A175" s="263"/>
      <c r="B175" s="182"/>
      <c r="C175" s="182"/>
      <c r="D175" s="182"/>
      <c r="E175" s="182"/>
      <c r="F175" s="182"/>
      <c r="G175" s="182"/>
      <c r="H175" s="182"/>
      <c r="I175" s="182"/>
      <c r="J175" s="193"/>
      <c r="K175" s="194"/>
      <c r="L175" s="194"/>
      <c r="M175" s="194"/>
      <c r="N175" s="196"/>
      <c r="O175" s="262"/>
      <c r="P175" s="190"/>
      <c r="Q175" s="205"/>
      <c r="R175" s="269"/>
    </row>
    <row r="176" spans="1:18" ht="15" customHeight="1">
      <c r="A176" s="263"/>
      <c r="B176" s="182"/>
      <c r="C176" s="182"/>
      <c r="D176" s="182"/>
      <c r="E176" s="182"/>
      <c r="F176" s="182"/>
      <c r="G176" s="182"/>
      <c r="H176" s="182"/>
      <c r="I176" s="182"/>
      <c r="J176" s="193"/>
      <c r="K176" s="292"/>
      <c r="L176" s="292"/>
      <c r="M176" s="292"/>
      <c r="N176" s="290"/>
      <c r="O176" s="157"/>
      <c r="R176" s="157"/>
    </row>
    <row r="177" spans="1:30" ht="15" customHeight="1">
      <c r="A177" s="1008" t="s">
        <v>442</v>
      </c>
      <c r="B177" s="998" t="s">
        <v>415</v>
      </c>
      <c r="C177" s="998"/>
      <c r="D177" s="998"/>
      <c r="E177" s="998"/>
      <c r="F177" s="998"/>
      <c r="G177" s="998"/>
      <c r="H177" s="998"/>
      <c r="I177" s="998"/>
      <c r="J177" s="998"/>
      <c r="K177" s="998"/>
      <c r="L177" s="998"/>
      <c r="M177" s="998"/>
      <c r="N177" s="998"/>
      <c r="O177" s="998"/>
      <c r="P177" s="190"/>
      <c r="Q177" s="205"/>
      <c r="R177" s="269"/>
    </row>
    <row r="178" spans="1:30" ht="37.5" customHeight="1">
      <c r="A178" s="1008"/>
      <c r="B178" s="998"/>
      <c r="C178" s="998"/>
      <c r="D178" s="998"/>
      <c r="E178" s="998"/>
      <c r="F178" s="998"/>
      <c r="G178" s="998"/>
      <c r="H178" s="998"/>
      <c r="I178" s="998"/>
      <c r="J178" s="998"/>
      <c r="K178" s="998"/>
      <c r="L178" s="998"/>
      <c r="M178" s="998"/>
      <c r="N178" s="998"/>
      <c r="O178" s="998"/>
      <c r="P178" s="190"/>
      <c r="Q178" s="205"/>
      <c r="R178" s="269"/>
    </row>
    <row r="179" spans="1:30" ht="15" customHeight="1">
      <c r="A179" s="263"/>
      <c r="B179" s="246"/>
      <c r="C179" s="246"/>
      <c r="D179" s="246"/>
      <c r="E179" s="246"/>
      <c r="F179" s="246"/>
      <c r="G179" s="246"/>
      <c r="H179" s="203">
        <v>1</v>
      </c>
      <c r="I179" s="183" t="s">
        <v>1</v>
      </c>
      <c r="J179" s="256">
        <f>J172</f>
        <v>136.73999999999998</v>
      </c>
      <c r="K179" s="183" t="s">
        <v>1</v>
      </c>
      <c r="L179" s="186">
        <f>L172</f>
        <v>3</v>
      </c>
      <c r="M179" s="188" t="s">
        <v>0</v>
      </c>
      <c r="N179" s="189">
        <f>L179*J179*H179</f>
        <v>410.21999999999991</v>
      </c>
      <c r="O179" s="283" t="s">
        <v>420</v>
      </c>
      <c r="P179" s="185"/>
      <c r="Q179" s="185"/>
      <c r="R179" s="244"/>
    </row>
    <row r="180" spans="1:30" ht="15" customHeight="1">
      <c r="A180" s="263"/>
      <c r="B180" s="182"/>
      <c r="C180" s="182"/>
      <c r="D180" s="182"/>
      <c r="E180" s="182"/>
      <c r="F180" s="182"/>
      <c r="G180" s="182"/>
      <c r="H180" s="185"/>
      <c r="I180" s="185"/>
      <c r="J180" s="185"/>
      <c r="K180" s="996" t="s">
        <v>8</v>
      </c>
      <c r="L180" s="996"/>
      <c r="M180" s="190" t="s">
        <v>0</v>
      </c>
      <c r="N180" s="204">
        <f>SUM(N179)</f>
        <v>410.21999999999991</v>
      </c>
      <c r="O180" s="244" t="s">
        <v>420</v>
      </c>
      <c r="P180" s="185"/>
      <c r="Q180" s="185"/>
      <c r="R180" s="244"/>
    </row>
    <row r="181" spans="1:30" ht="15" customHeight="1">
      <c r="A181" s="263"/>
      <c r="B181" s="182"/>
      <c r="C181" s="182"/>
      <c r="D181" s="182"/>
      <c r="E181" s="182"/>
      <c r="F181" s="182"/>
      <c r="G181" s="182"/>
      <c r="H181" s="182"/>
      <c r="I181" s="182"/>
      <c r="J181" s="193" t="s">
        <v>350</v>
      </c>
      <c r="K181" s="194" t="s">
        <v>11</v>
      </c>
      <c r="L181" s="989">
        <v>87</v>
      </c>
      <c r="M181" s="989"/>
      <c r="N181" s="196" t="s">
        <v>421</v>
      </c>
      <c r="O181" s="262"/>
      <c r="P181" s="188" t="s">
        <v>0</v>
      </c>
      <c r="Q181" s="247" t="s">
        <v>11</v>
      </c>
      <c r="R181" s="275">
        <f>ROUND(N180*L181,0)</f>
        <v>35689</v>
      </c>
    </row>
    <row r="182" spans="1:30" ht="15" customHeight="1">
      <c r="A182" s="263"/>
      <c r="B182" s="182"/>
      <c r="C182" s="182"/>
      <c r="D182" s="182"/>
      <c r="E182" s="182"/>
      <c r="F182" s="182"/>
      <c r="G182" s="182"/>
      <c r="H182" s="182"/>
      <c r="I182" s="182"/>
      <c r="J182" s="193"/>
      <c r="K182" s="194"/>
      <c r="L182" s="194"/>
      <c r="M182" s="194"/>
      <c r="N182" s="990" t="s">
        <v>369</v>
      </c>
      <c r="O182" s="990"/>
      <c r="P182" s="251" t="s">
        <v>0</v>
      </c>
      <c r="Q182" s="252" t="s">
        <v>11</v>
      </c>
      <c r="R182" s="276">
        <f>SUM(R169:R181)</f>
        <v>794409.87</v>
      </c>
      <c r="W182" s="159"/>
      <c r="X182" s="159"/>
      <c r="Y182" s="159"/>
      <c r="Z182" s="159"/>
      <c r="AA182" s="159"/>
      <c r="AB182" s="159"/>
      <c r="AC182" s="159"/>
      <c r="AD182" s="159"/>
    </row>
    <row r="183" spans="1:30" ht="13.5" customHeight="1">
      <c r="A183" s="261"/>
      <c r="B183" s="241"/>
      <c r="C183" s="241"/>
      <c r="D183" s="241"/>
      <c r="E183" s="241"/>
      <c r="F183" s="241"/>
      <c r="G183" s="241"/>
      <c r="H183" s="241"/>
      <c r="I183" s="241"/>
      <c r="J183" s="241"/>
      <c r="K183" s="241"/>
      <c r="L183" s="241"/>
      <c r="M183" s="241"/>
      <c r="N183" s="990" t="s">
        <v>351</v>
      </c>
      <c r="O183" s="990"/>
      <c r="P183" s="254" t="s">
        <v>0</v>
      </c>
      <c r="Q183" s="255" t="s">
        <v>11</v>
      </c>
      <c r="R183" s="273">
        <f>R182</f>
        <v>794409.87</v>
      </c>
    </row>
    <row r="184" spans="1:30" ht="13.5" customHeight="1">
      <c r="A184" s="261"/>
      <c r="B184" s="241"/>
      <c r="C184" s="241"/>
      <c r="D184" s="241"/>
      <c r="E184" s="241"/>
      <c r="F184" s="241"/>
      <c r="G184" s="241"/>
      <c r="H184" s="241"/>
      <c r="I184" s="241"/>
      <c r="J184" s="241"/>
      <c r="K184" s="241"/>
      <c r="L184" s="241"/>
      <c r="M184" s="241"/>
      <c r="N184" s="257"/>
      <c r="O184" s="285"/>
      <c r="P184" s="254"/>
      <c r="Q184" s="255"/>
      <c r="R184" s="273"/>
      <c r="W184" s="250"/>
    </row>
    <row r="185" spans="1:30" ht="13.5" customHeight="1">
      <c r="A185" s="261"/>
      <c r="B185" s="241"/>
      <c r="C185" s="241"/>
      <c r="D185" s="241"/>
      <c r="E185" s="241"/>
      <c r="F185" s="241"/>
      <c r="G185" s="241"/>
      <c r="H185" s="241"/>
      <c r="I185" s="241"/>
      <c r="J185" s="241"/>
      <c r="K185" s="241"/>
      <c r="L185" s="241"/>
      <c r="M185" s="241"/>
      <c r="N185" s="257"/>
      <c r="O185" s="285"/>
      <c r="P185" s="254"/>
      <c r="Q185" s="255"/>
      <c r="R185" s="273"/>
    </row>
    <row r="186" spans="1:30" ht="13.5" customHeight="1">
      <c r="A186" s="261"/>
      <c r="B186" s="241"/>
      <c r="C186" s="241"/>
      <c r="D186" s="241"/>
      <c r="E186" s="241"/>
      <c r="F186" s="241"/>
      <c r="G186" s="241"/>
      <c r="H186" s="241"/>
      <c r="I186" s="241"/>
      <c r="J186" s="241"/>
      <c r="K186" s="241"/>
      <c r="L186" s="241"/>
      <c r="M186" s="241"/>
      <c r="N186" s="257"/>
      <c r="O186" s="285"/>
      <c r="P186" s="254"/>
      <c r="Q186" s="255"/>
      <c r="R186" s="273"/>
    </row>
    <row r="187" spans="1:30" ht="13.5" customHeight="1">
      <c r="A187" s="262"/>
      <c r="B187" s="192"/>
      <c r="C187" s="192"/>
      <c r="D187" s="192"/>
      <c r="E187" s="192"/>
      <c r="F187" s="237"/>
      <c r="G187" s="205"/>
      <c r="H187" s="192"/>
      <c r="I187" s="238"/>
      <c r="J187" s="213"/>
      <c r="K187" s="192"/>
      <c r="L187" s="187"/>
      <c r="M187" s="201"/>
      <c r="N187" s="192"/>
      <c r="O187" s="262"/>
      <c r="P187" s="192"/>
      <c r="Q187" s="205"/>
      <c r="R187" s="269"/>
    </row>
    <row r="188" spans="1:30" ht="21" customHeight="1">
      <c r="A188" s="991" t="s">
        <v>431</v>
      </c>
      <c r="B188" s="991"/>
      <c r="C188" s="991"/>
      <c r="D188" s="991"/>
      <c r="E188" s="991"/>
      <c r="F188" s="991"/>
      <c r="G188" s="991"/>
      <c r="H188" s="991"/>
      <c r="I188" s="991"/>
      <c r="J188" s="991"/>
      <c r="K188" s="991"/>
      <c r="L188" s="991"/>
      <c r="M188" s="991"/>
      <c r="N188" s="991"/>
      <c r="O188" s="991"/>
      <c r="P188" s="991"/>
      <c r="Q188" s="991"/>
      <c r="R188" s="991"/>
    </row>
    <row r="189" spans="1:30" ht="13.5" customHeight="1">
      <c r="A189" s="991"/>
      <c r="B189" s="991"/>
      <c r="C189" s="991"/>
      <c r="D189" s="991"/>
      <c r="E189" s="991"/>
      <c r="F189" s="991"/>
      <c r="G189" s="991"/>
      <c r="H189" s="991"/>
      <c r="I189" s="991"/>
      <c r="J189" s="991"/>
      <c r="K189" s="991"/>
      <c r="L189" s="991"/>
      <c r="M189" s="991"/>
      <c r="N189" s="991"/>
      <c r="O189" s="991"/>
      <c r="P189" s="991"/>
      <c r="Q189" s="991"/>
      <c r="R189" s="991"/>
    </row>
    <row r="190" spans="1:30" s="159" customFormat="1" ht="14.25" customHeight="1">
      <c r="A190" s="262"/>
      <c r="B190" s="192"/>
      <c r="C190" s="192"/>
      <c r="D190" s="192"/>
      <c r="E190" s="192"/>
      <c r="F190" s="237"/>
      <c r="G190" s="205"/>
      <c r="H190" s="192"/>
      <c r="I190" s="238"/>
      <c r="J190" s="213"/>
      <c r="K190" s="192"/>
      <c r="L190" s="187"/>
      <c r="M190" s="201"/>
      <c r="N190" s="192"/>
      <c r="O190" s="262"/>
      <c r="P190" s="192"/>
      <c r="Q190" s="205"/>
      <c r="R190" s="269"/>
      <c r="W190" s="157"/>
      <c r="X190" s="157"/>
      <c r="Y190" s="157"/>
      <c r="Z190" s="157"/>
      <c r="AA190" s="157"/>
      <c r="AB190" s="157"/>
      <c r="AC190" s="157"/>
      <c r="AD190" s="157"/>
    </row>
    <row r="191" spans="1:30" ht="15" customHeight="1">
      <c r="A191" s="262"/>
      <c r="B191" s="192"/>
      <c r="C191" s="192"/>
      <c r="D191" s="192"/>
      <c r="E191" s="192"/>
      <c r="F191" s="237"/>
      <c r="G191" s="205"/>
      <c r="H191" s="192"/>
      <c r="I191" s="238"/>
      <c r="J191" s="239"/>
      <c r="K191" s="237"/>
      <c r="L191" s="191"/>
      <c r="M191" s="191"/>
      <c r="N191" s="240"/>
      <c r="O191" s="262"/>
      <c r="P191" s="190"/>
      <c r="Q191" s="205"/>
      <c r="R191" s="269"/>
    </row>
    <row r="192" spans="1:30" ht="15" customHeight="1">
      <c r="A192" s="244"/>
      <c r="B192" s="185"/>
      <c r="C192" s="185"/>
      <c r="D192" s="185"/>
      <c r="E192" s="185"/>
      <c r="F192" s="185"/>
      <c r="G192" s="185"/>
      <c r="H192" s="185"/>
      <c r="I192" s="185"/>
      <c r="J192" s="185"/>
      <c r="K192" s="185"/>
      <c r="L192" s="185"/>
      <c r="M192" s="185"/>
      <c r="N192" s="185"/>
      <c r="O192" s="244"/>
      <c r="P192" s="185"/>
      <c r="Q192" s="185"/>
      <c r="R192" s="244"/>
    </row>
    <row r="193" spans="1:18" ht="13.5" customHeight="1">
      <c r="A193" s="992" t="s">
        <v>356</v>
      </c>
      <c r="B193" s="992"/>
      <c r="C193" s="992"/>
      <c r="D193" s="992"/>
      <c r="E193" s="992"/>
      <c r="F193" s="992"/>
      <c r="G193" s="992"/>
      <c r="H193" s="992"/>
      <c r="I193" s="992"/>
      <c r="J193" s="992"/>
      <c r="K193" s="992"/>
      <c r="L193" s="992"/>
      <c r="M193" s="992"/>
      <c r="N193" s="992"/>
      <c r="O193" s="992"/>
      <c r="P193" s="992"/>
      <c r="Q193" s="992"/>
      <c r="R193" s="992"/>
    </row>
    <row r="194" spans="1:18" ht="15.75" customHeight="1">
      <c r="A194" s="262"/>
      <c r="B194" s="192"/>
      <c r="C194" s="192"/>
      <c r="D194" s="192"/>
      <c r="E194" s="192"/>
      <c r="F194" s="237"/>
      <c r="G194" s="205"/>
      <c r="H194" s="192"/>
      <c r="I194" s="238"/>
      <c r="J194" s="239"/>
      <c r="K194" s="237"/>
      <c r="L194" s="191"/>
      <c r="M194" s="191"/>
      <c r="N194" s="240"/>
      <c r="O194" s="262"/>
      <c r="P194" s="190"/>
      <c r="Q194" s="205"/>
      <c r="R194" s="269"/>
    </row>
    <row r="195" spans="1:18" ht="14.25" customHeight="1">
      <c r="A195" s="261"/>
      <c r="B195" s="241"/>
      <c r="C195" s="241"/>
      <c r="D195" s="241"/>
      <c r="E195" s="241"/>
      <c r="F195" s="241"/>
      <c r="G195" s="241"/>
      <c r="H195" s="241"/>
      <c r="I195" s="241"/>
      <c r="J195" s="241"/>
      <c r="K195" s="241"/>
      <c r="L195" s="241"/>
      <c r="M195" s="241"/>
      <c r="N195" s="241"/>
      <c r="O195" s="284"/>
      <c r="P195" s="192"/>
      <c r="Q195" s="205"/>
      <c r="R195" s="269"/>
    </row>
    <row r="196" spans="1:18" ht="17.25" customHeight="1">
      <c r="A196" s="262"/>
      <c r="B196" s="192"/>
      <c r="C196" s="192"/>
      <c r="D196" s="192"/>
      <c r="E196" s="192"/>
      <c r="F196" s="237"/>
      <c r="G196" s="205"/>
      <c r="H196" s="192"/>
      <c r="I196" s="238"/>
      <c r="J196" s="213"/>
      <c r="K196" s="192"/>
      <c r="L196" s="187"/>
      <c r="M196" s="201"/>
      <c r="N196" s="192"/>
      <c r="O196" s="262"/>
      <c r="P196" s="192"/>
      <c r="Q196" s="205"/>
      <c r="R196" s="269"/>
    </row>
    <row r="197" spans="1:18">
      <c r="A197" s="262"/>
      <c r="B197" s="192"/>
      <c r="C197" s="192"/>
      <c r="D197" s="201"/>
      <c r="E197" s="201"/>
      <c r="F197" s="187"/>
      <c r="G197" s="190"/>
      <c r="H197" s="187"/>
      <c r="I197" s="201"/>
      <c r="J197" s="187"/>
      <c r="K197" s="201"/>
      <c r="L197" s="201"/>
      <c r="M197" s="190"/>
      <c r="N197" s="191"/>
      <c r="O197" s="265"/>
      <c r="P197" s="192"/>
      <c r="Q197" s="205"/>
      <c r="R197" s="269"/>
    </row>
    <row r="198" spans="1:18">
      <c r="A198" s="262"/>
      <c r="B198" s="192"/>
      <c r="C198" s="192"/>
      <c r="D198" s="201"/>
      <c r="E198" s="201"/>
      <c r="F198" s="187"/>
      <c r="G198" s="201"/>
      <c r="H198" s="187"/>
      <c r="I198" s="201"/>
      <c r="J198" s="187"/>
      <c r="K198" s="201"/>
      <c r="L198" s="201"/>
      <c r="M198" s="190"/>
      <c r="N198" s="213"/>
      <c r="O198" s="262"/>
      <c r="P198" s="192"/>
      <c r="Q198" s="205"/>
      <c r="R198" s="269"/>
    </row>
    <row r="199" spans="1:18">
      <c r="A199" s="262"/>
      <c r="B199" s="192"/>
      <c r="C199" s="192"/>
      <c r="D199" s="201"/>
      <c r="E199" s="201"/>
      <c r="F199" s="187"/>
      <c r="G199" s="201"/>
      <c r="H199" s="187"/>
      <c r="I199" s="201"/>
      <c r="J199" s="187"/>
      <c r="K199" s="201"/>
      <c r="L199" s="201"/>
      <c r="M199" s="190"/>
      <c r="N199" s="213"/>
      <c r="O199" s="262"/>
      <c r="P199" s="192"/>
      <c r="Q199" s="205"/>
      <c r="R199" s="269"/>
    </row>
    <row r="200" spans="1:18" ht="14.25" customHeight="1">
      <c r="A200" s="262"/>
      <c r="B200" s="192"/>
      <c r="C200" s="192"/>
      <c r="D200" s="201"/>
      <c r="E200" s="201"/>
      <c r="F200" s="187"/>
      <c r="G200" s="201"/>
      <c r="H200" s="187"/>
      <c r="I200" s="201"/>
      <c r="J200" s="187"/>
      <c r="K200" s="201"/>
      <c r="L200" s="201"/>
      <c r="M200" s="190"/>
      <c r="N200" s="213"/>
      <c r="O200" s="262"/>
      <c r="P200" s="192"/>
      <c r="Q200" s="205"/>
      <c r="R200" s="269"/>
    </row>
    <row r="201" spans="1:18" ht="27.75" customHeight="1">
      <c r="A201" s="266"/>
      <c r="B201" s="162"/>
      <c r="C201" s="162"/>
      <c r="D201" s="162"/>
      <c r="E201" s="162"/>
      <c r="F201" s="165"/>
      <c r="G201" s="166"/>
      <c r="H201" s="162"/>
      <c r="I201" s="179"/>
      <c r="J201" s="167"/>
      <c r="K201" s="162"/>
      <c r="L201" s="163"/>
      <c r="M201" s="169"/>
      <c r="N201" s="164"/>
      <c r="O201" s="286"/>
      <c r="P201" s="164"/>
      <c r="Q201" s="170"/>
      <c r="R201" s="277"/>
    </row>
    <row r="202" spans="1:18">
      <c r="A202" s="266"/>
      <c r="B202" s="162"/>
      <c r="C202" s="162"/>
      <c r="D202" s="162"/>
      <c r="E202" s="162"/>
      <c r="F202" s="165"/>
      <c r="G202" s="166"/>
      <c r="H202" s="162"/>
      <c r="I202" s="179"/>
      <c r="J202" s="167"/>
      <c r="K202" s="162"/>
      <c r="L202" s="163"/>
      <c r="M202" s="169"/>
      <c r="N202" s="164"/>
      <c r="O202" s="286"/>
      <c r="P202" s="164"/>
      <c r="Q202" s="170"/>
      <c r="R202" s="277"/>
    </row>
    <row r="203" spans="1:18">
      <c r="A203" s="266"/>
      <c r="B203" s="162"/>
      <c r="C203" s="162"/>
      <c r="D203" s="162"/>
      <c r="E203" s="162"/>
      <c r="F203" s="165"/>
      <c r="G203" s="166"/>
      <c r="H203" s="162"/>
      <c r="I203" s="179"/>
      <c r="J203" s="167"/>
      <c r="K203" s="162"/>
      <c r="L203" s="163"/>
      <c r="M203" s="169"/>
      <c r="N203" s="164"/>
      <c r="O203" s="286"/>
      <c r="P203" s="164"/>
      <c r="Q203" s="170"/>
      <c r="R203" s="277"/>
    </row>
    <row r="204" spans="1:18" ht="14.25" customHeight="1">
      <c r="A204" s="266"/>
      <c r="B204" s="162"/>
      <c r="C204" s="162"/>
      <c r="D204" s="162"/>
      <c r="E204" s="162"/>
      <c r="F204" s="165"/>
      <c r="G204" s="166"/>
      <c r="H204" s="162"/>
      <c r="I204" s="179"/>
      <c r="J204" s="167"/>
      <c r="K204" s="162"/>
      <c r="L204" s="163"/>
      <c r="M204" s="169"/>
      <c r="N204" s="164"/>
      <c r="O204" s="286"/>
      <c r="P204" s="164"/>
      <c r="Q204" s="170"/>
      <c r="R204" s="277"/>
    </row>
    <row r="205" spans="1:18" ht="26.25" customHeight="1">
      <c r="A205" s="266"/>
      <c r="B205" s="162"/>
      <c r="C205" s="162"/>
      <c r="D205" s="162"/>
      <c r="E205" s="162"/>
      <c r="F205" s="165"/>
      <c r="G205" s="166"/>
      <c r="H205" s="162"/>
      <c r="I205" s="179"/>
      <c r="J205" s="167"/>
      <c r="K205" s="162"/>
      <c r="L205" s="163"/>
      <c r="M205" s="169"/>
      <c r="N205" s="164"/>
      <c r="O205" s="286"/>
      <c r="P205" s="164"/>
      <c r="Q205" s="170"/>
      <c r="R205" s="277"/>
    </row>
    <row r="206" spans="1:18">
      <c r="A206" s="266"/>
      <c r="B206" s="162"/>
      <c r="C206" s="162"/>
      <c r="D206" s="162"/>
      <c r="E206" s="162"/>
      <c r="F206" s="165"/>
      <c r="G206" s="166"/>
      <c r="H206" s="162"/>
      <c r="I206" s="179"/>
      <c r="J206" s="167"/>
      <c r="K206" s="162"/>
      <c r="L206" s="163"/>
      <c r="M206" s="169"/>
      <c r="N206" s="164"/>
      <c r="O206" s="286"/>
      <c r="P206" s="164"/>
      <c r="Q206" s="170"/>
      <c r="R206" s="277"/>
    </row>
    <row r="207" spans="1:18" ht="13.5" customHeight="1">
      <c r="A207" s="266"/>
      <c r="B207" s="162"/>
      <c r="C207" s="162"/>
      <c r="D207" s="162"/>
      <c r="E207" s="162"/>
      <c r="F207" s="165"/>
      <c r="G207" s="166"/>
      <c r="H207" s="162"/>
      <c r="I207" s="179"/>
      <c r="J207" s="167"/>
      <c r="K207" s="162"/>
      <c r="L207" s="163"/>
      <c r="M207" s="169"/>
      <c r="N207" s="164"/>
      <c r="O207" s="286"/>
      <c r="P207" s="164"/>
      <c r="Q207" s="170"/>
      <c r="R207" s="277"/>
    </row>
    <row r="208" spans="1:18">
      <c r="A208" s="266"/>
      <c r="B208" s="162"/>
      <c r="C208" s="162"/>
      <c r="D208" s="162"/>
      <c r="E208" s="162"/>
      <c r="F208" s="165"/>
      <c r="G208" s="166"/>
      <c r="H208" s="162"/>
      <c r="I208" s="179"/>
      <c r="J208" s="167"/>
      <c r="K208" s="162"/>
      <c r="L208" s="163"/>
      <c r="M208" s="169"/>
      <c r="N208" s="164"/>
      <c r="O208" s="286"/>
      <c r="P208" s="164"/>
      <c r="Q208" s="170"/>
      <c r="R208" s="277"/>
    </row>
    <row r="209" spans="1:18">
      <c r="A209" s="266"/>
      <c r="B209" s="162"/>
      <c r="C209" s="162"/>
      <c r="D209" s="162"/>
      <c r="E209" s="162"/>
      <c r="F209" s="165"/>
      <c r="G209" s="166"/>
      <c r="H209" s="162"/>
      <c r="I209" s="179"/>
      <c r="J209" s="167"/>
      <c r="K209" s="162"/>
      <c r="L209" s="163"/>
      <c r="M209" s="169"/>
      <c r="N209" s="164"/>
      <c r="O209" s="286"/>
      <c r="P209" s="164"/>
      <c r="Q209" s="170"/>
      <c r="R209" s="277"/>
    </row>
    <row r="210" spans="1:18" ht="15.75" customHeight="1">
      <c r="A210" s="266"/>
      <c r="B210" s="162"/>
      <c r="C210" s="162"/>
      <c r="D210" s="162"/>
      <c r="E210" s="162"/>
      <c r="F210" s="165"/>
      <c r="G210" s="166"/>
      <c r="H210" s="162"/>
      <c r="I210" s="179"/>
      <c r="J210" s="167"/>
      <c r="K210" s="162"/>
      <c r="L210" s="163"/>
      <c r="M210" s="169"/>
      <c r="N210" s="164"/>
      <c r="O210" s="286"/>
      <c r="P210" s="164"/>
      <c r="Q210" s="170"/>
      <c r="R210" s="277"/>
    </row>
    <row r="211" spans="1:18" ht="15" customHeight="1">
      <c r="A211" s="266"/>
      <c r="B211" s="162"/>
      <c r="C211" s="162"/>
      <c r="D211" s="162"/>
      <c r="E211" s="162"/>
      <c r="F211" s="165"/>
      <c r="G211" s="166"/>
      <c r="H211" s="162"/>
      <c r="I211" s="179"/>
      <c r="J211" s="167"/>
      <c r="K211" s="162"/>
      <c r="L211" s="163"/>
      <c r="M211" s="169"/>
      <c r="N211" s="164"/>
      <c r="O211" s="286"/>
      <c r="P211" s="164"/>
      <c r="Q211" s="170"/>
      <c r="R211" s="277"/>
    </row>
    <row r="212" spans="1:18" ht="15" customHeight="1">
      <c r="A212" s="266"/>
      <c r="B212" s="162"/>
      <c r="C212" s="162"/>
      <c r="D212" s="162"/>
      <c r="E212" s="162"/>
      <c r="F212" s="165"/>
      <c r="G212" s="166"/>
      <c r="H212" s="162"/>
      <c r="I212" s="179"/>
      <c r="J212" s="167"/>
      <c r="K212" s="162"/>
      <c r="L212" s="163"/>
      <c r="M212" s="169"/>
      <c r="N212" s="164"/>
      <c r="O212" s="286"/>
      <c r="P212" s="164"/>
      <c r="Q212" s="170"/>
      <c r="R212" s="277"/>
    </row>
    <row r="213" spans="1:18" ht="15" customHeight="1">
      <c r="A213" s="266"/>
      <c r="B213" s="162"/>
      <c r="C213" s="162"/>
      <c r="D213" s="162"/>
      <c r="E213" s="162"/>
      <c r="F213" s="165"/>
      <c r="G213" s="166"/>
      <c r="H213" s="162"/>
      <c r="I213" s="179"/>
      <c r="J213" s="167"/>
      <c r="K213" s="162"/>
      <c r="L213" s="163"/>
      <c r="M213" s="169"/>
      <c r="N213" s="164"/>
      <c r="O213" s="286"/>
      <c r="P213" s="164"/>
      <c r="Q213" s="170"/>
      <c r="R213" s="277"/>
    </row>
    <row r="214" spans="1:18" ht="15" customHeight="1">
      <c r="A214" s="266"/>
      <c r="B214" s="162"/>
      <c r="C214" s="162"/>
      <c r="D214" s="162"/>
      <c r="E214" s="162"/>
      <c r="F214" s="165"/>
      <c r="G214" s="166"/>
      <c r="H214" s="162"/>
      <c r="I214" s="179"/>
      <c r="J214" s="167"/>
      <c r="K214" s="162"/>
      <c r="L214" s="163"/>
      <c r="M214" s="169"/>
      <c r="N214" s="164"/>
      <c r="O214" s="286"/>
      <c r="P214" s="164"/>
      <c r="Q214" s="170"/>
      <c r="R214" s="277"/>
    </row>
    <row r="215" spans="1:18" ht="14.25" customHeight="1">
      <c r="A215" s="266"/>
      <c r="B215" s="162"/>
      <c r="C215" s="162"/>
      <c r="D215" s="162"/>
      <c r="E215" s="162"/>
      <c r="F215" s="165"/>
      <c r="G215" s="166"/>
      <c r="H215" s="162"/>
      <c r="I215" s="179"/>
      <c r="J215" s="167"/>
      <c r="K215" s="162"/>
      <c r="L215" s="163"/>
      <c r="M215" s="169"/>
      <c r="N215" s="164"/>
      <c r="O215" s="286"/>
      <c r="P215" s="164"/>
      <c r="Q215" s="170"/>
      <c r="R215" s="277"/>
    </row>
    <row r="216" spans="1:18" ht="13.5" customHeight="1">
      <c r="A216" s="266"/>
      <c r="B216" s="162"/>
      <c r="C216" s="162"/>
      <c r="D216" s="162"/>
      <c r="E216" s="162"/>
      <c r="F216" s="165"/>
      <c r="G216" s="166"/>
      <c r="H216" s="162"/>
      <c r="I216" s="179"/>
      <c r="J216" s="167"/>
      <c r="K216" s="162"/>
      <c r="L216" s="163"/>
      <c r="M216" s="169"/>
      <c r="N216" s="164"/>
      <c r="O216" s="286"/>
      <c r="P216" s="164"/>
      <c r="Q216" s="170"/>
      <c r="R216" s="277"/>
    </row>
    <row r="217" spans="1:18" ht="13.5" customHeight="1">
      <c r="A217" s="266"/>
      <c r="B217" s="162"/>
      <c r="C217" s="162"/>
      <c r="D217" s="162"/>
      <c r="E217" s="162"/>
      <c r="F217" s="165"/>
      <c r="G217" s="166"/>
      <c r="H217" s="162"/>
      <c r="I217" s="179"/>
      <c r="J217" s="167"/>
      <c r="K217" s="162"/>
      <c r="L217" s="163"/>
      <c r="M217" s="169"/>
      <c r="N217" s="164"/>
      <c r="O217" s="286"/>
      <c r="P217" s="164"/>
      <c r="Q217" s="170"/>
      <c r="R217" s="277"/>
    </row>
    <row r="218" spans="1:18" ht="13.5" customHeight="1">
      <c r="A218" s="266"/>
      <c r="B218" s="162"/>
      <c r="C218" s="162"/>
      <c r="D218" s="162"/>
      <c r="E218" s="162"/>
      <c r="F218" s="165"/>
      <c r="G218" s="166"/>
      <c r="H218" s="162"/>
      <c r="I218" s="179"/>
      <c r="J218" s="167"/>
      <c r="K218" s="162"/>
      <c r="L218" s="163"/>
      <c r="M218" s="169"/>
      <c r="N218" s="164"/>
      <c r="O218" s="286"/>
      <c r="P218" s="164"/>
      <c r="Q218" s="170"/>
      <c r="R218" s="277"/>
    </row>
    <row r="219" spans="1:18" ht="15" customHeight="1">
      <c r="A219" s="266"/>
      <c r="B219" s="162"/>
      <c r="C219" s="162"/>
      <c r="D219" s="162"/>
      <c r="E219" s="162"/>
      <c r="F219" s="165"/>
      <c r="G219" s="166"/>
      <c r="H219" s="162"/>
      <c r="I219" s="179"/>
      <c r="J219" s="167"/>
      <c r="K219" s="162"/>
      <c r="L219" s="163"/>
      <c r="M219" s="169"/>
      <c r="N219" s="164"/>
      <c r="O219" s="286"/>
      <c r="P219" s="164"/>
      <c r="Q219" s="170"/>
      <c r="R219" s="277"/>
    </row>
    <row r="220" spans="1:18" ht="15.75" customHeight="1">
      <c r="A220" s="266"/>
      <c r="B220" s="162"/>
      <c r="C220" s="162"/>
      <c r="D220" s="162"/>
      <c r="E220" s="162"/>
      <c r="F220" s="165"/>
      <c r="G220" s="166"/>
      <c r="H220" s="162"/>
      <c r="I220" s="179"/>
      <c r="J220" s="167"/>
      <c r="K220" s="162"/>
      <c r="L220" s="163"/>
      <c r="M220" s="169"/>
      <c r="N220" s="164"/>
      <c r="O220" s="286"/>
      <c r="P220" s="164"/>
      <c r="Q220" s="170"/>
      <c r="R220" s="277"/>
    </row>
    <row r="221" spans="1:18" ht="16.5" customHeight="1">
      <c r="A221" s="266"/>
      <c r="B221" s="162"/>
      <c r="C221" s="162"/>
      <c r="D221" s="162"/>
      <c r="E221" s="162"/>
      <c r="F221" s="165"/>
      <c r="G221" s="166"/>
      <c r="H221" s="162"/>
      <c r="I221" s="179"/>
      <c r="J221" s="167"/>
      <c r="K221" s="162"/>
      <c r="L221" s="163"/>
      <c r="M221" s="169"/>
      <c r="N221" s="164"/>
      <c r="O221" s="286"/>
      <c r="P221" s="164"/>
      <c r="Q221" s="170"/>
      <c r="R221" s="277"/>
    </row>
    <row r="222" spans="1:18" ht="12.75" customHeight="1">
      <c r="A222" s="266"/>
      <c r="B222" s="162"/>
      <c r="C222" s="162"/>
      <c r="D222" s="162"/>
      <c r="E222" s="162"/>
      <c r="F222" s="165"/>
      <c r="G222" s="166"/>
      <c r="H222" s="162"/>
      <c r="I222" s="179"/>
      <c r="J222" s="167"/>
      <c r="K222" s="162"/>
      <c r="L222" s="163"/>
      <c r="M222" s="169"/>
      <c r="N222" s="164"/>
      <c r="O222" s="286"/>
      <c r="P222" s="164"/>
      <c r="Q222" s="170"/>
      <c r="R222" s="277"/>
    </row>
    <row r="223" spans="1:18" ht="15" customHeight="1">
      <c r="A223" s="266"/>
      <c r="B223" s="162"/>
      <c r="C223" s="162"/>
      <c r="D223" s="162"/>
      <c r="E223" s="162"/>
      <c r="F223" s="165"/>
      <c r="G223" s="166"/>
      <c r="H223" s="162"/>
      <c r="I223" s="179"/>
      <c r="J223" s="167"/>
      <c r="K223" s="162"/>
      <c r="L223" s="163"/>
      <c r="M223" s="169"/>
      <c r="N223" s="164"/>
      <c r="O223" s="286"/>
      <c r="P223" s="164"/>
      <c r="Q223" s="170"/>
      <c r="R223" s="277"/>
    </row>
    <row r="224" spans="1:18" ht="14.25" customHeight="1">
      <c r="A224" s="266"/>
      <c r="B224" s="162"/>
      <c r="C224" s="162"/>
      <c r="D224" s="162"/>
      <c r="E224" s="162"/>
      <c r="F224" s="165"/>
      <c r="G224" s="166"/>
      <c r="H224" s="162"/>
      <c r="I224" s="179"/>
      <c r="J224" s="167"/>
      <c r="K224" s="162"/>
      <c r="L224" s="163"/>
      <c r="M224" s="169"/>
      <c r="N224" s="164"/>
      <c r="O224" s="286"/>
      <c r="P224" s="164"/>
      <c r="Q224" s="170"/>
      <c r="R224" s="277"/>
    </row>
    <row r="225" ht="14.25" customHeight="1"/>
    <row r="243" ht="12.75" customHeight="1"/>
  </sheetData>
  <mergeCells count="97">
    <mergeCell ref="A188:R189"/>
    <mergeCell ref="B177:O178"/>
    <mergeCell ref="B74:J74"/>
    <mergeCell ref="B141:H141"/>
    <mergeCell ref="L101:M101"/>
    <mergeCell ref="B93:J93"/>
    <mergeCell ref="B135:C135"/>
    <mergeCell ref="L174:M174"/>
    <mergeCell ref="B171:O171"/>
    <mergeCell ref="K110:L110"/>
    <mergeCell ref="B94:E94"/>
    <mergeCell ref="L119:M119"/>
    <mergeCell ref="K100:L100"/>
    <mergeCell ref="B98:E98"/>
    <mergeCell ref="K80:L80"/>
    <mergeCell ref="L81:M81"/>
    <mergeCell ref="A193:R193"/>
    <mergeCell ref="N182:O182"/>
    <mergeCell ref="N183:O183"/>
    <mergeCell ref="B133:O133"/>
    <mergeCell ref="B104:O104"/>
    <mergeCell ref="L181:M181"/>
    <mergeCell ref="B152:N153"/>
    <mergeCell ref="B155:H155"/>
    <mergeCell ref="K157:L157"/>
    <mergeCell ref="L158:M158"/>
    <mergeCell ref="L144:M144"/>
    <mergeCell ref="B140:O140"/>
    <mergeCell ref="K137:L137"/>
    <mergeCell ref="B116:E116"/>
    <mergeCell ref="F116:H116"/>
    <mergeCell ref="L112:M112"/>
    <mergeCell ref="A1:R2"/>
    <mergeCell ref="I14:J14"/>
    <mergeCell ref="B15:H15"/>
    <mergeCell ref="I18:J18"/>
    <mergeCell ref="A3:R3"/>
    <mergeCell ref="B9:I9"/>
    <mergeCell ref="B6:O6"/>
    <mergeCell ref="B16:G16"/>
    <mergeCell ref="B8:J8"/>
    <mergeCell ref="B20:H20"/>
    <mergeCell ref="B49:F49"/>
    <mergeCell ref="B22:F22"/>
    <mergeCell ref="B23:F23"/>
    <mergeCell ref="B24:F24"/>
    <mergeCell ref="B36:F36"/>
    <mergeCell ref="I26:J26"/>
    <mergeCell ref="I30:J30"/>
    <mergeCell ref="B28:G28"/>
    <mergeCell ref="B21:F21"/>
    <mergeCell ref="B35:F35"/>
    <mergeCell ref="I42:J42"/>
    <mergeCell ref="B33:H33"/>
    <mergeCell ref="B40:G40"/>
    <mergeCell ref="B95:J95"/>
    <mergeCell ref="B92:O92"/>
    <mergeCell ref="L71:M71"/>
    <mergeCell ref="B53:F53"/>
    <mergeCell ref="B54:F54"/>
    <mergeCell ref="B55:F55"/>
    <mergeCell ref="B62:F62"/>
    <mergeCell ref="B73:O73"/>
    <mergeCell ref="H69:L69"/>
    <mergeCell ref="B75:E75"/>
    <mergeCell ref="B76:E76"/>
    <mergeCell ref="B78:E78"/>
    <mergeCell ref="B79:E79"/>
    <mergeCell ref="X13:Y13"/>
    <mergeCell ref="X18:AB18"/>
    <mergeCell ref="I67:L67"/>
    <mergeCell ref="I65:J65"/>
    <mergeCell ref="B68:L68"/>
    <mergeCell ref="B59:H59"/>
    <mergeCell ref="B47:F47"/>
    <mergeCell ref="B60:F60"/>
    <mergeCell ref="B61:F61"/>
    <mergeCell ref="B48:H48"/>
    <mergeCell ref="B56:F56"/>
    <mergeCell ref="B52:F52"/>
    <mergeCell ref="B50:F50"/>
    <mergeCell ref="B51:F51"/>
    <mergeCell ref="B58:H58"/>
    <mergeCell ref="I38:J38"/>
    <mergeCell ref="A177:A178"/>
    <mergeCell ref="K180:L180"/>
    <mergeCell ref="A152:A153"/>
    <mergeCell ref="K149:L149"/>
    <mergeCell ref="L150:M150"/>
    <mergeCell ref="B146:O146"/>
    <mergeCell ref="B147:H147"/>
    <mergeCell ref="K173:L173"/>
    <mergeCell ref="L138:M138"/>
    <mergeCell ref="B63:F63"/>
    <mergeCell ref="B115:O115"/>
    <mergeCell ref="B99:E99"/>
    <mergeCell ref="B96:C96"/>
  </mergeCells>
  <phoneticPr fontId="5" type="noConversion"/>
  <pageMargins left="0.39" right="0.46" top="0.6" bottom="0.4" header="0.43" footer="0.42"/>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dimension ref="A1:W14"/>
  <sheetViews>
    <sheetView view="pageBreakPreview" zoomScaleSheetLayoutView="100" workbookViewId="0">
      <selection activeCell="F3" sqref="F3"/>
    </sheetView>
  </sheetViews>
  <sheetFormatPr defaultRowHeight="16.5"/>
  <cols>
    <col min="1" max="1" width="6.28515625" style="157" customWidth="1"/>
    <col min="2" max="2" width="40.42578125" style="157" customWidth="1"/>
    <col min="3" max="3" width="25.42578125" style="157" customWidth="1"/>
    <col min="4" max="4" width="15.5703125" style="157" customWidth="1"/>
    <col min="5" max="16384" width="9.140625" style="157"/>
  </cols>
  <sheetData>
    <row r="1" spans="1:23" ht="59.25" customHeight="1">
      <c r="A1" s="1078" t="str">
        <f>'Mawblei (Original)'!A1:R2</f>
        <v>ESTIMATE FOR CONSTRUCTION OF PARKING LOT CUM WORKSHOP FOR BUSES AT MAWBLEI,SHILLONG,EAST KHASI HILLS,MEGHALAYA.</v>
      </c>
      <c r="B1" s="1079"/>
      <c r="C1" s="1079"/>
      <c r="D1" s="1080"/>
      <c r="F1" s="318"/>
      <c r="G1" s="318"/>
      <c r="H1" s="318"/>
      <c r="I1" s="318"/>
      <c r="J1" s="318"/>
      <c r="K1" s="318"/>
      <c r="L1" s="318"/>
      <c r="M1" s="318"/>
      <c r="N1" s="318"/>
      <c r="O1" s="318"/>
      <c r="P1" s="318"/>
      <c r="Q1" s="318"/>
      <c r="R1" s="318"/>
      <c r="S1" s="318"/>
      <c r="T1" s="318"/>
      <c r="U1" s="318"/>
      <c r="V1" s="318"/>
      <c r="W1" s="318"/>
    </row>
    <row r="2" spans="1:23" ht="38.25" customHeight="1">
      <c r="A2" s="1081" t="s">
        <v>410</v>
      </c>
      <c r="B2" s="1017"/>
      <c r="C2" s="1017"/>
      <c r="D2" s="1082"/>
      <c r="F2" s="318"/>
      <c r="G2" s="318"/>
      <c r="H2" s="318"/>
      <c r="I2" s="318"/>
      <c r="J2" s="318"/>
      <c r="K2" s="318"/>
      <c r="L2" s="318"/>
      <c r="M2" s="318"/>
      <c r="N2" s="318"/>
      <c r="O2" s="318"/>
      <c r="P2" s="318"/>
      <c r="Q2" s="318"/>
      <c r="R2" s="318"/>
      <c r="S2" s="318"/>
      <c r="T2" s="318"/>
      <c r="U2" s="318"/>
      <c r="V2" s="318"/>
      <c r="W2" s="318"/>
    </row>
    <row r="3" spans="1:23" ht="27.75" customHeight="1">
      <c r="A3" s="1083" t="s">
        <v>399</v>
      </c>
      <c r="B3" s="1084"/>
      <c r="C3" s="1084"/>
      <c r="D3" s="1085"/>
    </row>
    <row r="4" spans="1:23" ht="36.75" customHeight="1">
      <c r="A4" s="336" t="s">
        <v>400</v>
      </c>
      <c r="B4" s="319" t="s">
        <v>401</v>
      </c>
      <c r="C4" s="337" t="s">
        <v>402</v>
      </c>
      <c r="D4" s="338" t="s">
        <v>403</v>
      </c>
    </row>
    <row r="5" spans="1:23" ht="45.75" customHeight="1">
      <c r="A5" s="328">
        <v>1</v>
      </c>
      <c r="B5" s="323" t="s">
        <v>444</v>
      </c>
      <c r="C5" s="443">
        <f>'School Extension (Modified)'!R249</f>
        <v>3888082.48</v>
      </c>
      <c r="D5" s="329" t="s">
        <v>404</v>
      </c>
    </row>
    <row r="6" spans="1:23" ht="45.75" customHeight="1">
      <c r="A6" s="328"/>
      <c r="B6" s="325" t="s">
        <v>405</v>
      </c>
      <c r="C6" s="324">
        <f>SUM(C5:C5)</f>
        <v>3888082.48</v>
      </c>
      <c r="D6" s="329"/>
    </row>
    <row r="7" spans="1:23" ht="45.75" customHeight="1">
      <c r="A7" s="328">
        <v>2</v>
      </c>
      <c r="B7" s="339" t="s">
        <v>406</v>
      </c>
      <c r="C7" s="324">
        <f>C6*0.12</f>
        <v>466569.89759999997</v>
      </c>
      <c r="D7" s="329"/>
    </row>
    <row r="8" spans="1:23" ht="45.75" customHeight="1">
      <c r="A8" s="328">
        <v>3</v>
      </c>
      <c r="B8" s="339" t="s">
        <v>407</v>
      </c>
      <c r="C8" s="324">
        <f>C6*0.1</f>
        <v>388808.24800000002</v>
      </c>
      <c r="D8" s="329"/>
    </row>
    <row r="9" spans="1:23" ht="45.75" customHeight="1">
      <c r="A9" s="330"/>
      <c r="B9" s="325" t="s">
        <v>405</v>
      </c>
      <c r="C9" s="324">
        <f>SUM(C6:C8)</f>
        <v>4743460.6255999999</v>
      </c>
      <c r="D9" s="331"/>
    </row>
    <row r="10" spans="1:23" ht="39" customHeight="1">
      <c r="A10" s="1089" t="s">
        <v>408</v>
      </c>
      <c r="B10" s="1090"/>
      <c r="C10" s="327">
        <f>SUM(C6:C8)</f>
        <v>4743460.6255999999</v>
      </c>
      <c r="D10" s="332"/>
    </row>
    <row r="11" spans="1:23" ht="39" customHeight="1">
      <c r="A11" s="1091" t="s">
        <v>409</v>
      </c>
      <c r="B11" s="1092"/>
      <c r="C11" s="326">
        <f>C10</f>
        <v>4743460.6255999999</v>
      </c>
      <c r="D11" s="333"/>
    </row>
    <row r="12" spans="1:23" ht="32.25" customHeight="1">
      <c r="A12" s="334"/>
      <c r="B12" s="168"/>
      <c r="C12" s="168"/>
      <c r="D12" s="335"/>
    </row>
    <row r="13" spans="1:23" ht="54" customHeight="1" thickBot="1">
      <c r="A13" s="1086" t="s">
        <v>488</v>
      </c>
      <c r="B13" s="1087"/>
      <c r="C13" s="1087"/>
      <c r="D13" s="1088"/>
    </row>
    <row r="14" spans="1:23" ht="32.25" customHeight="1">
      <c r="A14" s="320"/>
      <c r="B14" s="320"/>
      <c r="C14" s="321"/>
      <c r="D14" s="322"/>
    </row>
  </sheetData>
  <mergeCells count="6">
    <mergeCell ref="A1:D1"/>
    <mergeCell ref="A2:D2"/>
    <mergeCell ref="A3:D3"/>
    <mergeCell ref="A13:D13"/>
    <mergeCell ref="A10:B10"/>
    <mergeCell ref="A11:B11"/>
  </mergeCells>
  <pageMargins left="0.7" right="0.7" top="0.75" bottom="0.75" header="0.3" footer="0.3"/>
  <pageSetup paperSize="9" orientation="portrait" verticalDpi="300" r:id="rId1"/>
</worksheet>
</file>

<file path=xl/worksheets/sheet9.xml><?xml version="1.0" encoding="utf-8"?>
<worksheet xmlns="http://schemas.openxmlformats.org/spreadsheetml/2006/main" xmlns:r="http://schemas.openxmlformats.org/officeDocument/2006/relationships">
  <dimension ref="A1:W473"/>
  <sheetViews>
    <sheetView workbookViewId="0">
      <selection activeCell="V18" sqref="V18"/>
    </sheetView>
  </sheetViews>
  <sheetFormatPr defaultRowHeight="12.75"/>
  <cols>
    <col min="1" max="1" width="8.5703125" style="18" customWidth="1"/>
    <col min="2" max="2" width="8.7109375" style="18" customWidth="1"/>
    <col min="3" max="3" width="2.140625" style="18" customWidth="1"/>
    <col min="4" max="5" width="1.85546875" style="18" customWidth="1"/>
    <col min="6" max="6" width="5.42578125" style="18" customWidth="1"/>
    <col min="7" max="7" width="1.85546875" style="18" customWidth="1"/>
    <col min="8" max="8" width="3.140625" style="18" hidden="1" customWidth="1"/>
    <col min="9" max="9" width="9.5703125" style="18" customWidth="1"/>
    <col min="10" max="10" width="2.85546875" style="18" customWidth="1"/>
    <col min="11" max="11" width="2.42578125" style="18" customWidth="1"/>
    <col min="12" max="12" width="5" style="18" customWidth="1"/>
    <col min="13" max="13" width="6" style="18" customWidth="1"/>
    <col min="14" max="14" width="9.28515625" style="18" customWidth="1"/>
    <col min="15" max="15" width="6.7109375" style="18" customWidth="1"/>
    <col min="16" max="16" width="8.28515625" style="18" customWidth="1"/>
    <col min="17" max="17" width="5.7109375" style="18" customWidth="1"/>
    <col min="18" max="18" width="3.28515625" style="18" customWidth="1"/>
    <col min="19" max="19" width="3" style="18" customWidth="1"/>
    <col min="20" max="20" width="13.140625" style="18" customWidth="1"/>
    <col min="21" max="21" width="9.140625" style="18"/>
    <col min="22" max="22" width="12.7109375" style="18" customWidth="1"/>
    <col min="23" max="16384" width="9.140625" style="18"/>
  </cols>
  <sheetData>
    <row r="1" spans="1:20" ht="15">
      <c r="B1" s="558"/>
      <c r="C1" s="559" t="s">
        <v>541</v>
      </c>
      <c r="D1" s="558"/>
      <c r="E1" s="558"/>
      <c r="F1" s="558"/>
      <c r="G1" s="558"/>
      <c r="H1" s="558"/>
      <c r="I1" s="558"/>
      <c r="J1" s="558"/>
      <c r="K1" s="558"/>
      <c r="L1" s="558"/>
      <c r="M1" s="558"/>
      <c r="N1" s="558"/>
      <c r="O1" s="558"/>
      <c r="P1" s="558"/>
      <c r="Q1" s="558"/>
      <c r="R1" s="558"/>
      <c r="S1" s="558"/>
    </row>
    <row r="2" spans="1:20">
      <c r="A2" s="560"/>
      <c r="B2" s="560"/>
      <c r="C2" s="560"/>
      <c r="D2" s="560"/>
      <c r="E2" s="560"/>
      <c r="F2" s="560"/>
      <c r="G2" s="560"/>
      <c r="H2" s="560"/>
      <c r="I2" s="560"/>
      <c r="J2" s="560"/>
      <c r="K2" s="560"/>
      <c r="L2" s="560"/>
      <c r="M2" s="560"/>
      <c r="N2" s="560"/>
      <c r="O2" s="560"/>
      <c r="P2" s="560"/>
      <c r="Q2" s="560"/>
      <c r="R2" s="560"/>
      <c r="S2" s="560"/>
      <c r="T2" s="560"/>
    </row>
    <row r="3" spans="1:20" ht="14.25">
      <c r="A3" s="561" t="s">
        <v>542</v>
      </c>
      <c r="B3" s="562"/>
      <c r="C3" s="562"/>
      <c r="D3" s="562"/>
      <c r="E3" s="562" t="s">
        <v>575</v>
      </c>
      <c r="F3" s="562"/>
      <c r="G3" s="562"/>
      <c r="H3" s="562"/>
      <c r="I3" s="562"/>
      <c r="J3" s="562"/>
      <c r="K3" s="562"/>
      <c r="L3" s="562"/>
      <c r="M3" s="562"/>
      <c r="N3" s="562"/>
      <c r="O3" s="562"/>
      <c r="P3" s="562"/>
      <c r="Q3" s="562"/>
      <c r="R3" s="562"/>
    </row>
    <row r="4" spans="1:20">
      <c r="E4" s="563"/>
      <c r="F4" s="563"/>
      <c r="G4" s="35"/>
      <c r="H4" s="564"/>
      <c r="I4" s="564"/>
      <c r="J4" s="564"/>
      <c r="K4" s="101"/>
      <c r="L4" s="101"/>
      <c r="M4" s="564"/>
      <c r="N4" s="564"/>
      <c r="O4" s="564"/>
      <c r="P4" s="101"/>
      <c r="R4" s="564"/>
      <c r="S4" s="101"/>
      <c r="T4" s="565"/>
    </row>
    <row r="5" spans="1:20">
      <c r="E5" s="543"/>
      <c r="F5" s="543"/>
      <c r="G5" s="35"/>
      <c r="H5" s="554"/>
      <c r="I5" s="554"/>
      <c r="J5" s="554"/>
      <c r="M5" s="82"/>
      <c r="N5" s="82"/>
      <c r="O5" s="82"/>
      <c r="P5" s="64"/>
      <c r="R5" s="554"/>
      <c r="S5" s="557"/>
      <c r="T5" s="565"/>
    </row>
    <row r="6" spans="1:20" ht="14.25">
      <c r="A6" s="1105" t="s">
        <v>543</v>
      </c>
      <c r="B6" s="1109"/>
      <c r="C6" s="1109"/>
      <c r="D6" s="1109"/>
      <c r="E6" s="1109"/>
      <c r="F6" s="1109"/>
      <c r="G6" s="566"/>
      <c r="H6" s="567"/>
      <c r="I6" s="1093" t="e">
        <f>Nongmynsong!#REF!*1</f>
        <v>#REF!</v>
      </c>
      <c r="J6" s="1103" t="s">
        <v>544</v>
      </c>
      <c r="K6" s="1105" t="s">
        <v>98</v>
      </c>
      <c r="L6" s="1109">
        <v>320</v>
      </c>
      <c r="M6" s="1095" t="s">
        <v>545</v>
      </c>
      <c r="N6" s="568" t="e">
        <f>I6*L6</f>
        <v>#REF!</v>
      </c>
      <c r="O6" s="569" t="s">
        <v>100</v>
      </c>
      <c r="P6" s="1093" t="e">
        <f>ROUND(N6/N7,0)</f>
        <v>#REF!</v>
      </c>
      <c r="Q6" s="1095" t="s">
        <v>546</v>
      </c>
    </row>
    <row r="7" spans="1:20" ht="14.25">
      <c r="A7" s="1106"/>
      <c r="B7" s="1110"/>
      <c r="C7" s="1110"/>
      <c r="D7" s="1110"/>
      <c r="E7" s="1110"/>
      <c r="F7" s="1110"/>
      <c r="G7" s="570"/>
      <c r="H7" s="571"/>
      <c r="I7" s="1094"/>
      <c r="J7" s="1104"/>
      <c r="K7" s="1106"/>
      <c r="L7" s="1110"/>
      <c r="M7" s="1096"/>
      <c r="N7" s="572">
        <v>50</v>
      </c>
      <c r="O7" s="570" t="s">
        <v>547</v>
      </c>
      <c r="P7" s="1094"/>
      <c r="Q7" s="1096"/>
    </row>
    <row r="8" spans="1:20" ht="14.25">
      <c r="A8" s="1097" t="s">
        <v>548</v>
      </c>
      <c r="B8" s="1098"/>
      <c r="C8" s="1098"/>
      <c r="D8" s="1098"/>
      <c r="E8" s="1098"/>
      <c r="F8" s="1098"/>
      <c r="G8" s="1098"/>
      <c r="H8" s="1099"/>
      <c r="I8" s="1093">
        <v>266.38</v>
      </c>
      <c r="J8" s="1103" t="s">
        <v>544</v>
      </c>
      <c r="K8" s="1105" t="s">
        <v>98</v>
      </c>
      <c r="L8" s="1107">
        <v>6.6</v>
      </c>
      <c r="M8" s="1095" t="s">
        <v>545</v>
      </c>
      <c r="N8" s="568">
        <f>I8*L8</f>
        <v>1758.1079999999999</v>
      </c>
      <c r="O8" s="573" t="s">
        <v>100</v>
      </c>
      <c r="P8" s="1093">
        <f>ROUND(N8/N9,0)</f>
        <v>35</v>
      </c>
      <c r="Q8" s="1095" t="s">
        <v>546</v>
      </c>
    </row>
    <row r="9" spans="1:20" ht="14.25">
      <c r="A9" s="1100"/>
      <c r="B9" s="1101"/>
      <c r="C9" s="1101"/>
      <c r="D9" s="1101"/>
      <c r="E9" s="1101"/>
      <c r="F9" s="1101"/>
      <c r="G9" s="1101"/>
      <c r="H9" s="1102"/>
      <c r="I9" s="1094"/>
      <c r="J9" s="1104"/>
      <c r="K9" s="1106"/>
      <c r="L9" s="1108"/>
      <c r="M9" s="1096"/>
      <c r="N9" s="572">
        <v>50</v>
      </c>
      <c r="O9" s="571" t="s">
        <v>547</v>
      </c>
      <c r="P9" s="1094"/>
      <c r="Q9" s="1096"/>
    </row>
    <row r="10" spans="1:20" ht="28.5">
      <c r="A10" s="574"/>
      <c r="B10" s="575"/>
      <c r="C10" s="575"/>
      <c r="D10" s="575"/>
      <c r="E10" s="575"/>
      <c r="F10" s="575"/>
      <c r="G10" s="575"/>
      <c r="H10" s="576"/>
      <c r="I10" s="577"/>
      <c r="J10" s="576"/>
      <c r="K10" s="577"/>
      <c r="L10" s="575"/>
      <c r="M10" s="576"/>
      <c r="N10" s="577"/>
      <c r="O10" s="576" t="s">
        <v>549</v>
      </c>
      <c r="P10" s="578" t="e">
        <f>SUM(P6:P9)</f>
        <v>#REF!</v>
      </c>
      <c r="Q10" s="579" t="s">
        <v>546</v>
      </c>
    </row>
    <row r="11" spans="1:20">
      <c r="A11" s="73"/>
      <c r="B11" s="580"/>
      <c r="C11" s="580"/>
      <c r="D11" s="580"/>
      <c r="E11" s="580"/>
      <c r="F11" s="74"/>
      <c r="G11" s="74"/>
      <c r="H11" s="74"/>
      <c r="I11" s="74"/>
      <c r="J11" s="74"/>
      <c r="K11" s="74"/>
      <c r="L11" s="74"/>
      <c r="M11" s="74"/>
      <c r="N11" s="74"/>
      <c r="O11" s="74"/>
      <c r="P11" s="74"/>
      <c r="Q11" s="74"/>
    </row>
    <row r="12" spans="1:20">
      <c r="B12" s="61"/>
      <c r="C12" s="35"/>
      <c r="D12" s="544"/>
      <c r="E12" s="544"/>
      <c r="F12" s="543"/>
      <c r="G12" s="544"/>
      <c r="H12" s="543"/>
      <c r="I12" s="581"/>
      <c r="J12" s="543"/>
      <c r="K12" s="582"/>
      <c r="L12" s="543"/>
      <c r="M12" s="582"/>
      <c r="N12" s="543"/>
      <c r="O12" s="582"/>
      <c r="P12" s="555"/>
    </row>
    <row r="13" spans="1:20">
      <c r="C13" s="553"/>
      <c r="F13" s="555"/>
      <c r="H13" s="555"/>
      <c r="I13" s="553"/>
      <c r="J13" s="555"/>
      <c r="K13" s="544"/>
    </row>
    <row r="14" spans="1:20">
      <c r="A14" s="73"/>
      <c r="B14" s="580"/>
      <c r="C14" s="580"/>
      <c r="D14" s="580"/>
      <c r="E14" s="580"/>
      <c r="F14" s="74"/>
      <c r="G14" s="74"/>
      <c r="H14" s="74"/>
      <c r="I14" s="74"/>
      <c r="J14" s="74"/>
      <c r="K14" s="74"/>
      <c r="L14" s="74"/>
      <c r="M14" s="74"/>
      <c r="N14" s="74"/>
      <c r="O14" s="74"/>
      <c r="P14" s="74"/>
      <c r="Q14" s="74"/>
    </row>
    <row r="15" spans="1:20">
      <c r="B15" s="61"/>
      <c r="C15" s="35"/>
      <c r="D15" s="544"/>
      <c r="E15" s="544"/>
      <c r="F15" s="543"/>
      <c r="G15" s="544"/>
      <c r="H15" s="543"/>
      <c r="I15" s="581"/>
      <c r="J15" s="543"/>
      <c r="K15" s="582"/>
      <c r="L15" s="543"/>
      <c r="M15" s="582"/>
      <c r="N15" s="543"/>
      <c r="O15" s="582"/>
      <c r="P15" s="555"/>
    </row>
    <row r="16" spans="1:20">
      <c r="C16" s="553"/>
      <c r="F16" s="555"/>
      <c r="H16" s="555"/>
      <c r="I16" s="553"/>
      <c r="J16" s="555"/>
      <c r="K16" s="544"/>
    </row>
    <row r="17" spans="1:20">
      <c r="A17" s="73"/>
      <c r="B17" s="580"/>
      <c r="C17" s="580"/>
      <c r="D17" s="580"/>
      <c r="E17" s="580"/>
      <c r="F17" s="580"/>
      <c r="G17" s="74"/>
      <c r="H17" s="74"/>
      <c r="I17" s="74"/>
      <c r="J17" s="74"/>
      <c r="K17" s="74"/>
      <c r="L17" s="74"/>
      <c r="M17" s="74"/>
      <c r="N17" s="74"/>
      <c r="O17" s="74"/>
      <c r="P17" s="74"/>
      <c r="Q17" s="74"/>
    </row>
    <row r="18" spans="1:20">
      <c r="B18" s="61"/>
      <c r="C18" s="35"/>
      <c r="D18" s="544"/>
      <c r="E18" s="544"/>
      <c r="F18" s="543"/>
      <c r="G18" s="544"/>
      <c r="H18" s="543"/>
      <c r="I18" s="581"/>
      <c r="J18" s="543"/>
      <c r="K18" s="582"/>
      <c r="L18" s="543"/>
      <c r="M18" s="582"/>
      <c r="N18" s="543"/>
      <c r="O18" s="582"/>
      <c r="P18" s="555"/>
    </row>
    <row r="19" spans="1:20" ht="14.25">
      <c r="C19" s="561" t="s">
        <v>550</v>
      </c>
      <c r="F19" s="555"/>
      <c r="H19" s="555"/>
      <c r="I19" s="553"/>
      <c r="J19" s="555"/>
      <c r="K19" s="544"/>
      <c r="M19" s="561" t="s">
        <v>551</v>
      </c>
    </row>
    <row r="20" spans="1:20">
      <c r="A20" s="73"/>
      <c r="B20" s="580"/>
      <c r="C20" s="580"/>
      <c r="D20" s="580"/>
      <c r="E20" s="580"/>
      <c r="F20" s="580"/>
      <c r="G20" s="74"/>
      <c r="H20" s="74"/>
      <c r="I20" s="74"/>
      <c r="J20" s="74"/>
      <c r="K20" s="74"/>
      <c r="L20" s="74"/>
      <c r="M20" s="74"/>
      <c r="N20" s="74"/>
      <c r="O20" s="74"/>
      <c r="P20" s="74"/>
      <c r="Q20" s="74"/>
    </row>
    <row r="21" spans="1:20">
      <c r="B21" s="61"/>
      <c r="C21" s="35"/>
      <c r="D21" s="544"/>
      <c r="E21" s="544"/>
      <c r="F21" s="543"/>
      <c r="G21" s="544"/>
      <c r="H21" s="543"/>
      <c r="I21" s="544"/>
      <c r="J21" s="543"/>
      <c r="K21" s="544"/>
      <c r="L21" s="544"/>
      <c r="M21" s="544"/>
      <c r="N21" s="543"/>
      <c r="O21" s="35"/>
      <c r="P21" s="555"/>
    </row>
    <row r="22" spans="1:20">
      <c r="N22" s="583"/>
      <c r="O22" s="553"/>
      <c r="P22" s="555"/>
    </row>
    <row r="23" spans="1:20">
      <c r="E23" s="563"/>
      <c r="F23" s="563"/>
      <c r="G23" s="35"/>
      <c r="H23" s="564"/>
      <c r="I23" s="564"/>
      <c r="J23" s="564"/>
      <c r="K23" s="101"/>
      <c r="L23" s="101"/>
      <c r="M23" s="564"/>
      <c r="N23" s="564"/>
      <c r="O23" s="564"/>
      <c r="P23" s="101"/>
      <c r="R23" s="564"/>
      <c r="S23" s="101"/>
      <c r="T23" s="565"/>
    </row>
    <row r="24" spans="1:20">
      <c r="C24" s="553"/>
    </row>
    <row r="25" spans="1:20">
      <c r="A25" s="584"/>
      <c r="B25" s="74"/>
      <c r="C25" s="74"/>
      <c r="D25" s="74"/>
      <c r="E25" s="74"/>
      <c r="F25" s="74"/>
      <c r="G25" s="74"/>
      <c r="H25" s="74"/>
      <c r="I25" s="74"/>
      <c r="J25" s="74"/>
      <c r="K25" s="74"/>
      <c r="L25" s="74"/>
      <c r="M25" s="74"/>
      <c r="N25" s="74"/>
      <c r="O25" s="74"/>
      <c r="P25" s="74"/>
      <c r="Q25" s="74"/>
    </row>
    <row r="26" spans="1:20">
      <c r="B26" s="61"/>
      <c r="C26" s="35"/>
      <c r="D26" s="544"/>
      <c r="E26" s="544"/>
      <c r="F26" s="543"/>
      <c r="G26" s="544"/>
      <c r="H26" s="543"/>
      <c r="I26" s="544"/>
      <c r="J26" s="543"/>
      <c r="K26" s="544"/>
      <c r="L26" s="544"/>
      <c r="M26" s="544"/>
      <c r="N26" s="543"/>
      <c r="O26" s="35"/>
      <c r="P26" s="555"/>
    </row>
    <row r="27" spans="1:20">
      <c r="B27" s="61"/>
      <c r="C27" s="35"/>
      <c r="D27" s="544"/>
      <c r="E27" s="544"/>
      <c r="F27" s="543"/>
      <c r="G27" s="544"/>
      <c r="H27" s="543"/>
      <c r="I27" s="544"/>
      <c r="J27" s="543"/>
      <c r="K27" s="544"/>
      <c r="L27" s="544"/>
      <c r="M27" s="544"/>
      <c r="N27" s="543"/>
      <c r="O27" s="35"/>
      <c r="P27" s="555"/>
    </row>
    <row r="28" spans="1:20">
      <c r="B28" s="61"/>
      <c r="C28" s="35"/>
      <c r="D28" s="544"/>
      <c r="E28" s="544"/>
      <c r="F28" s="543"/>
      <c r="G28" s="544"/>
      <c r="H28" s="543"/>
      <c r="I28" s="544"/>
      <c r="J28" s="543"/>
      <c r="K28" s="544"/>
      <c r="L28" s="544"/>
      <c r="M28" s="544"/>
      <c r="N28" s="543"/>
      <c r="O28" s="35"/>
      <c r="P28" s="555"/>
    </row>
    <row r="29" spans="1:20">
      <c r="B29" s="61"/>
      <c r="C29" s="35"/>
      <c r="D29" s="544"/>
      <c r="E29" s="544"/>
      <c r="F29" s="543"/>
      <c r="G29" s="544"/>
      <c r="H29" s="543"/>
      <c r="I29" s="544"/>
      <c r="J29" s="543"/>
      <c r="K29" s="544"/>
      <c r="L29" s="544"/>
      <c r="M29" s="544"/>
      <c r="N29" s="543"/>
      <c r="O29" s="35"/>
      <c r="P29" s="555"/>
    </row>
    <row r="30" spans="1:20">
      <c r="B30" s="61"/>
      <c r="C30" s="35"/>
      <c r="D30" s="544"/>
      <c r="E30" s="544"/>
      <c r="F30" s="543"/>
      <c r="G30" s="544"/>
      <c r="H30" s="543"/>
      <c r="I30" s="544"/>
      <c r="J30" s="543"/>
      <c r="K30" s="544"/>
      <c r="L30" s="544"/>
      <c r="M30" s="544"/>
      <c r="N30" s="543"/>
      <c r="O30" s="35"/>
      <c r="P30" s="555"/>
    </row>
    <row r="31" spans="1:20">
      <c r="N31" s="543"/>
      <c r="O31" s="553"/>
      <c r="P31" s="555"/>
    </row>
    <row r="32" spans="1:20">
      <c r="J32" s="585"/>
      <c r="K32" s="585"/>
      <c r="L32" s="563"/>
      <c r="M32" s="563"/>
      <c r="N32" s="564"/>
      <c r="O32" s="564"/>
      <c r="P32" s="555"/>
      <c r="R32" s="564"/>
      <c r="S32" s="564"/>
      <c r="T32" s="565"/>
    </row>
    <row r="34" spans="1:20">
      <c r="A34" s="586"/>
      <c r="B34" s="587"/>
      <c r="C34" s="74"/>
      <c r="D34" s="74"/>
      <c r="E34" s="74"/>
      <c r="F34" s="74"/>
      <c r="G34" s="74"/>
      <c r="H34" s="74"/>
      <c r="I34" s="74"/>
      <c r="J34" s="74"/>
      <c r="K34" s="74"/>
      <c r="L34" s="74"/>
      <c r="M34" s="74"/>
      <c r="N34" s="74"/>
      <c r="O34" s="74"/>
      <c r="P34" s="74"/>
      <c r="Q34" s="74"/>
    </row>
    <row r="35" spans="1:20">
      <c r="B35" s="587"/>
      <c r="C35" s="35"/>
      <c r="D35" s="544"/>
      <c r="E35" s="544"/>
      <c r="F35" s="543"/>
      <c r="G35" s="544"/>
      <c r="H35" s="543"/>
      <c r="I35" s="544"/>
      <c r="J35" s="543"/>
      <c r="K35" s="544"/>
      <c r="L35" s="544"/>
      <c r="M35" s="544"/>
      <c r="N35" s="543"/>
      <c r="O35" s="35"/>
      <c r="P35" s="555"/>
    </row>
    <row r="36" spans="1:20">
      <c r="B36" s="61"/>
      <c r="C36" s="35"/>
      <c r="D36" s="544"/>
      <c r="E36" s="544"/>
      <c r="F36" s="543"/>
      <c r="G36" s="544"/>
      <c r="H36" s="543"/>
      <c r="I36" s="544"/>
      <c r="J36" s="543"/>
      <c r="K36" s="544"/>
      <c r="L36" s="544"/>
      <c r="M36" s="544"/>
      <c r="N36" s="543"/>
      <c r="O36" s="35"/>
      <c r="P36" s="555"/>
    </row>
    <row r="37" spans="1:20">
      <c r="B37" s="61"/>
      <c r="C37" s="35"/>
      <c r="D37" s="544"/>
      <c r="E37" s="544"/>
      <c r="F37" s="543"/>
      <c r="G37" s="544"/>
      <c r="H37" s="543"/>
      <c r="I37" s="544"/>
      <c r="J37" s="543"/>
      <c r="K37" s="544"/>
      <c r="L37" s="544"/>
      <c r="M37" s="544"/>
      <c r="N37" s="543"/>
      <c r="O37" s="35"/>
      <c r="P37" s="555"/>
    </row>
    <row r="38" spans="1:20">
      <c r="B38" s="61"/>
      <c r="C38" s="35"/>
      <c r="D38" s="544"/>
      <c r="E38" s="544"/>
      <c r="F38" s="543"/>
      <c r="G38" s="544"/>
      <c r="H38" s="543"/>
      <c r="I38" s="544"/>
      <c r="J38" s="543"/>
      <c r="K38" s="544"/>
      <c r="L38" s="544"/>
      <c r="M38" s="544"/>
      <c r="N38" s="543"/>
      <c r="O38" s="35"/>
      <c r="P38" s="555"/>
    </row>
    <row r="39" spans="1:20">
      <c r="B39" s="61"/>
      <c r="C39" s="35"/>
      <c r="D39" s="544"/>
      <c r="E39" s="544"/>
      <c r="F39" s="543"/>
      <c r="G39" s="544"/>
      <c r="H39" s="543"/>
      <c r="I39" s="544"/>
      <c r="J39" s="543"/>
      <c r="K39" s="544"/>
      <c r="L39" s="544"/>
      <c r="M39" s="544"/>
      <c r="N39" s="543"/>
      <c r="O39" s="35"/>
      <c r="P39" s="555"/>
    </row>
    <row r="40" spans="1:20">
      <c r="B40" s="61"/>
      <c r="C40" s="35"/>
      <c r="D40" s="544"/>
      <c r="E40" s="544"/>
      <c r="F40" s="543"/>
      <c r="G40" s="544"/>
      <c r="H40" s="543"/>
      <c r="I40" s="544"/>
      <c r="J40" s="543"/>
      <c r="K40" s="544"/>
      <c r="L40" s="544"/>
      <c r="M40" s="544"/>
      <c r="N40" s="543"/>
      <c r="O40" s="35"/>
      <c r="P40" s="555"/>
    </row>
    <row r="41" spans="1:20">
      <c r="B41" s="61"/>
      <c r="C41" s="35"/>
      <c r="D41" s="544"/>
      <c r="E41" s="544"/>
      <c r="F41" s="543"/>
      <c r="G41" s="544"/>
      <c r="H41" s="543"/>
      <c r="I41" s="544"/>
      <c r="J41" s="543"/>
      <c r="K41" s="544"/>
      <c r="L41" s="544"/>
      <c r="M41" s="544"/>
      <c r="N41" s="543"/>
      <c r="O41" s="35"/>
      <c r="P41" s="555"/>
    </row>
    <row r="42" spans="1:20">
      <c r="B42" s="61"/>
      <c r="C42" s="35"/>
      <c r="D42" s="544"/>
      <c r="E42" s="544"/>
      <c r="F42" s="543"/>
      <c r="G42" s="544"/>
      <c r="H42" s="543"/>
      <c r="I42" s="544"/>
      <c r="J42" s="543"/>
      <c r="K42" s="544"/>
      <c r="L42" s="544"/>
      <c r="M42" s="544"/>
      <c r="N42" s="543"/>
      <c r="O42" s="35"/>
      <c r="P42" s="555"/>
    </row>
    <row r="43" spans="1:20">
      <c r="B43" s="61"/>
      <c r="C43" s="35"/>
      <c r="D43" s="544"/>
      <c r="E43" s="544"/>
      <c r="F43" s="543"/>
      <c r="G43" s="544"/>
      <c r="H43" s="543"/>
      <c r="I43" s="544"/>
      <c r="J43" s="543"/>
      <c r="K43" s="544"/>
      <c r="L43" s="544"/>
      <c r="M43" s="544"/>
      <c r="N43" s="543"/>
      <c r="O43" s="35"/>
      <c r="P43" s="555"/>
    </row>
    <row r="44" spans="1:20">
      <c r="H44" s="81"/>
      <c r="I44" s="81"/>
      <c r="J44" s="545"/>
      <c r="K44" s="545"/>
      <c r="L44" s="545"/>
      <c r="M44" s="545"/>
      <c r="N44" s="82"/>
      <c r="O44" s="64"/>
      <c r="P44" s="562"/>
      <c r="Q44" s="562"/>
      <c r="R44" s="588"/>
      <c r="S44" s="562"/>
      <c r="T44" s="589"/>
    </row>
    <row r="45" spans="1:20">
      <c r="H45" s="81"/>
      <c r="I45" s="81"/>
      <c r="J45" s="545"/>
      <c r="K45" s="545"/>
      <c r="L45" s="545"/>
      <c r="M45" s="545"/>
      <c r="N45" s="82"/>
      <c r="O45" s="64"/>
      <c r="P45" s="562"/>
      <c r="Q45" s="562"/>
      <c r="R45" s="588"/>
      <c r="S45" s="562"/>
      <c r="T45" s="589"/>
    </row>
    <row r="46" spans="1:20">
      <c r="B46" s="61"/>
      <c r="C46" s="35"/>
      <c r="D46" s="544"/>
      <c r="E46" s="544"/>
      <c r="F46" s="543"/>
      <c r="G46" s="544"/>
      <c r="H46" s="543"/>
      <c r="I46" s="544"/>
      <c r="J46" s="543"/>
      <c r="K46" s="544"/>
      <c r="L46" s="544"/>
      <c r="M46" s="544"/>
      <c r="N46" s="543"/>
      <c r="O46" s="35"/>
      <c r="P46" s="555"/>
    </row>
    <row r="47" spans="1:20">
      <c r="B47" s="61"/>
      <c r="C47" s="35"/>
      <c r="D47" s="544"/>
      <c r="E47" s="544"/>
      <c r="F47" s="543"/>
      <c r="G47" s="544"/>
      <c r="H47" s="543"/>
      <c r="I47" s="544"/>
      <c r="J47" s="543"/>
      <c r="K47" s="544"/>
      <c r="L47" s="544"/>
      <c r="M47" s="544"/>
      <c r="N47" s="543"/>
      <c r="O47" s="35"/>
      <c r="P47" s="555"/>
    </row>
    <row r="48" spans="1:20">
      <c r="B48" s="61"/>
      <c r="C48" s="35"/>
      <c r="D48" s="544"/>
      <c r="E48" s="544"/>
      <c r="F48" s="543"/>
      <c r="G48" s="544"/>
      <c r="H48" s="543"/>
      <c r="I48" s="544"/>
      <c r="J48" s="543"/>
      <c r="K48" s="544"/>
      <c r="L48" s="544"/>
      <c r="M48" s="544"/>
      <c r="N48" s="543"/>
      <c r="O48" s="35"/>
      <c r="P48" s="555"/>
    </row>
    <row r="49" spans="1:20">
      <c r="B49" s="590"/>
      <c r="C49" s="591"/>
      <c r="D49" s="549"/>
      <c r="E49" s="549"/>
      <c r="F49" s="552"/>
      <c r="G49" s="592"/>
      <c r="H49" s="593"/>
      <c r="I49" s="594"/>
      <c r="J49" s="595"/>
      <c r="K49" s="549"/>
      <c r="L49" s="552"/>
      <c r="M49" s="549"/>
      <c r="N49" s="544"/>
      <c r="O49" s="591"/>
      <c r="P49" s="552"/>
      <c r="Q49" s="549"/>
    </row>
    <row r="50" spans="1:20">
      <c r="B50" s="590"/>
      <c r="C50" s="549"/>
      <c r="D50" s="549"/>
      <c r="E50" s="549"/>
      <c r="F50" s="552"/>
      <c r="G50" s="591"/>
      <c r="H50" s="595"/>
      <c r="I50" s="550"/>
      <c r="J50" s="552"/>
      <c r="K50" s="549"/>
      <c r="L50" s="552"/>
      <c r="M50" s="549"/>
      <c r="N50" s="544"/>
      <c r="O50" s="549"/>
      <c r="P50" s="549"/>
      <c r="Q50" s="549"/>
    </row>
    <row r="51" spans="1:20">
      <c r="B51" s="590"/>
      <c r="C51" s="591"/>
      <c r="D51" s="549"/>
      <c r="E51" s="549"/>
      <c r="F51" s="552"/>
      <c r="G51" s="592"/>
      <c r="H51" s="593"/>
      <c r="I51" s="594"/>
      <c r="J51" s="595"/>
      <c r="K51" s="549"/>
      <c r="L51" s="552"/>
      <c r="M51" s="549"/>
      <c r="N51" s="544"/>
      <c r="O51" s="591"/>
      <c r="P51" s="552"/>
      <c r="Q51" s="549"/>
    </row>
    <row r="52" spans="1:20">
      <c r="B52" s="590"/>
      <c r="C52" s="549"/>
      <c r="D52" s="549"/>
      <c r="E52" s="549"/>
      <c r="F52" s="552"/>
      <c r="G52" s="591"/>
      <c r="H52" s="595"/>
      <c r="I52" s="550"/>
      <c r="J52" s="552"/>
      <c r="K52" s="549"/>
      <c r="L52" s="552"/>
      <c r="M52" s="549"/>
      <c r="N52" s="544"/>
      <c r="O52" s="549"/>
      <c r="P52" s="549"/>
      <c r="Q52" s="549"/>
    </row>
    <row r="53" spans="1:20">
      <c r="B53" s="590"/>
      <c r="C53" s="591"/>
      <c r="D53" s="549"/>
      <c r="E53" s="549"/>
      <c r="F53" s="552"/>
      <c r="G53" s="592"/>
      <c r="H53" s="593"/>
      <c r="I53" s="594"/>
      <c r="J53" s="595"/>
      <c r="K53" s="549"/>
      <c r="L53" s="552"/>
      <c r="M53" s="549"/>
      <c r="N53" s="544"/>
      <c r="O53" s="591"/>
      <c r="P53" s="552"/>
      <c r="Q53" s="549"/>
    </row>
    <row r="54" spans="1:20">
      <c r="B54" s="590"/>
      <c r="C54" s="549"/>
      <c r="D54" s="549"/>
      <c r="E54" s="549"/>
      <c r="F54" s="552"/>
      <c r="G54" s="591"/>
      <c r="H54" s="595"/>
      <c r="I54" s="550"/>
      <c r="J54" s="552"/>
      <c r="K54" s="549"/>
      <c r="L54" s="552"/>
      <c r="M54" s="549"/>
      <c r="N54" s="544"/>
      <c r="O54" s="549"/>
      <c r="P54" s="549"/>
      <c r="Q54" s="549"/>
    </row>
    <row r="55" spans="1:20">
      <c r="B55" s="590"/>
      <c r="C55" s="591"/>
      <c r="D55" s="549"/>
      <c r="E55" s="549"/>
      <c r="F55" s="552"/>
      <c r="G55" s="592"/>
      <c r="H55" s="593"/>
      <c r="I55" s="594"/>
      <c r="J55" s="595"/>
      <c r="K55" s="549"/>
      <c r="L55" s="552"/>
      <c r="M55" s="549"/>
      <c r="N55" s="544"/>
      <c r="O55" s="591"/>
      <c r="P55" s="552"/>
      <c r="Q55" s="549"/>
    </row>
    <row r="56" spans="1:20">
      <c r="B56" s="590"/>
      <c r="C56" s="549"/>
      <c r="D56" s="549"/>
      <c r="E56" s="549"/>
      <c r="F56" s="552"/>
      <c r="G56" s="591"/>
      <c r="H56" s="595"/>
      <c r="I56" s="550"/>
      <c r="J56" s="552"/>
      <c r="K56" s="549"/>
      <c r="L56" s="552"/>
      <c r="M56" s="549"/>
      <c r="N56" s="544"/>
      <c r="O56" s="549"/>
      <c r="P56" s="549"/>
      <c r="Q56" s="549"/>
    </row>
    <row r="57" spans="1:20">
      <c r="D57" s="549"/>
      <c r="E57" s="549"/>
      <c r="F57" s="549"/>
      <c r="G57" s="549"/>
      <c r="K57" s="549"/>
      <c r="L57" s="549"/>
      <c r="M57" s="549"/>
      <c r="N57" s="543"/>
      <c r="O57" s="553"/>
      <c r="P57" s="555"/>
    </row>
    <row r="58" spans="1:20">
      <c r="G58" s="563"/>
      <c r="H58" s="101"/>
      <c r="I58" s="563"/>
      <c r="J58" s="563"/>
      <c r="K58" s="563"/>
      <c r="L58" s="564"/>
      <c r="M58" s="101"/>
      <c r="P58" s="555"/>
      <c r="R58" s="564"/>
      <c r="S58" s="101"/>
      <c r="T58" s="565"/>
    </row>
    <row r="59" spans="1:20">
      <c r="P59" s="542"/>
      <c r="Q59" s="90"/>
      <c r="R59" s="564"/>
      <c r="S59" s="101"/>
      <c r="T59" s="589"/>
    </row>
    <row r="60" spans="1:20">
      <c r="A60" s="586"/>
      <c r="B60" s="74"/>
      <c r="C60" s="74"/>
      <c r="D60" s="74"/>
      <c r="E60" s="74"/>
      <c r="F60" s="74"/>
      <c r="G60" s="74"/>
      <c r="H60" s="74"/>
      <c r="I60" s="74"/>
      <c r="J60" s="74"/>
      <c r="K60" s="74"/>
      <c r="L60" s="74"/>
      <c r="M60" s="74"/>
      <c r="N60" s="74"/>
      <c r="O60" s="74"/>
      <c r="P60" s="74"/>
      <c r="Q60" s="74"/>
    </row>
    <row r="61" spans="1:20">
      <c r="A61" s="557"/>
    </row>
    <row r="62" spans="1:20">
      <c r="C62" s="101"/>
      <c r="D62" s="101"/>
      <c r="E62" s="61"/>
      <c r="F62" s="544"/>
      <c r="H62" s="543"/>
      <c r="I62" s="35"/>
      <c r="J62" s="543"/>
    </row>
    <row r="63" spans="1:20">
      <c r="C63" s="101"/>
      <c r="D63" s="101"/>
      <c r="E63" s="61"/>
      <c r="F63" s="544"/>
      <c r="H63" s="543"/>
      <c r="I63" s="35"/>
      <c r="J63" s="543"/>
    </row>
    <row r="64" spans="1:20">
      <c r="C64" s="101"/>
      <c r="D64" s="101"/>
      <c r="E64" s="61"/>
      <c r="F64" s="544"/>
      <c r="H64" s="543"/>
      <c r="I64" s="35"/>
      <c r="J64" s="543"/>
    </row>
    <row r="65" spans="1:20">
      <c r="C65" s="101"/>
      <c r="D65" s="101"/>
      <c r="E65" s="61"/>
      <c r="F65" s="544"/>
      <c r="H65" s="543"/>
      <c r="I65" s="35"/>
      <c r="J65" s="543"/>
    </row>
    <row r="66" spans="1:20">
      <c r="B66" s="590"/>
      <c r="C66" s="590"/>
      <c r="D66" s="590"/>
      <c r="E66" s="590"/>
      <c r="F66" s="590"/>
      <c r="H66" s="543"/>
      <c r="I66" s="35"/>
      <c r="J66" s="543"/>
    </row>
    <row r="67" spans="1:20">
      <c r="C67" s="101"/>
      <c r="D67" s="101"/>
      <c r="E67" s="61"/>
      <c r="F67" s="544"/>
      <c r="H67" s="543"/>
      <c r="I67" s="35"/>
      <c r="J67" s="543"/>
    </row>
    <row r="68" spans="1:20">
      <c r="C68" s="544"/>
      <c r="D68" s="544"/>
      <c r="E68" s="61"/>
      <c r="F68" s="544"/>
      <c r="H68" s="583"/>
      <c r="I68" s="35"/>
      <c r="J68" s="543"/>
    </row>
    <row r="69" spans="1:20">
      <c r="H69" s="585"/>
      <c r="I69" s="563"/>
      <c r="J69" s="563"/>
      <c r="K69" s="563"/>
      <c r="L69" s="82"/>
      <c r="M69" s="543"/>
      <c r="O69" s="64"/>
      <c r="P69" s="555"/>
      <c r="R69" s="564"/>
      <c r="S69" s="101"/>
      <c r="T69" s="565"/>
    </row>
    <row r="70" spans="1:20">
      <c r="C70" s="553"/>
      <c r="F70" s="555"/>
      <c r="H70" s="81"/>
      <c r="I70" s="81"/>
      <c r="J70" s="545"/>
      <c r="K70" s="545"/>
      <c r="L70" s="545"/>
      <c r="M70" s="545"/>
      <c r="N70" s="82"/>
      <c r="O70" s="64"/>
      <c r="P70" s="555"/>
      <c r="S70" s="565"/>
    </row>
    <row r="71" spans="1:20">
      <c r="A71" s="586"/>
      <c r="B71" s="74"/>
      <c r="C71" s="74"/>
      <c r="D71" s="74"/>
      <c r="E71" s="74"/>
      <c r="F71" s="74"/>
      <c r="G71" s="74"/>
      <c r="H71" s="74"/>
      <c r="I71" s="74"/>
      <c r="J71" s="74"/>
      <c r="K71" s="74"/>
      <c r="L71" s="74"/>
      <c r="M71" s="74"/>
      <c r="N71" s="74"/>
      <c r="O71" s="74"/>
      <c r="P71" s="74"/>
      <c r="Q71" s="74"/>
    </row>
    <row r="72" spans="1:20">
      <c r="B72" s="61"/>
      <c r="C72" s="35"/>
      <c r="D72" s="544"/>
      <c r="E72" s="544"/>
      <c r="F72" s="543"/>
      <c r="G72" s="544"/>
      <c r="H72" s="543"/>
      <c r="I72" s="581"/>
      <c r="J72" s="543"/>
      <c r="K72" s="582"/>
      <c r="L72" s="544"/>
      <c r="M72" s="582"/>
      <c r="N72" s="543"/>
      <c r="O72" s="582"/>
      <c r="P72" s="555"/>
    </row>
    <row r="73" spans="1:20">
      <c r="C73" s="553"/>
      <c r="F73" s="555"/>
      <c r="H73" s="555"/>
      <c r="I73" s="553"/>
      <c r="J73" s="555"/>
      <c r="K73" s="544"/>
    </row>
    <row r="74" spans="1:20">
      <c r="B74" s="61"/>
      <c r="C74" s="35"/>
      <c r="D74" s="544"/>
      <c r="E74" s="544"/>
      <c r="F74" s="543"/>
      <c r="G74" s="544"/>
      <c r="H74" s="543"/>
      <c r="I74" s="581"/>
      <c r="J74" s="543"/>
      <c r="K74" s="582"/>
      <c r="L74" s="543"/>
      <c r="M74" s="582"/>
      <c r="N74" s="543"/>
      <c r="O74" s="582"/>
      <c r="P74" s="555"/>
    </row>
    <row r="75" spans="1:20">
      <c r="C75" s="553"/>
      <c r="F75" s="555"/>
      <c r="H75" s="555"/>
      <c r="I75" s="553"/>
      <c r="J75" s="555"/>
      <c r="K75" s="544"/>
    </row>
    <row r="76" spans="1:20">
      <c r="B76" s="61"/>
      <c r="C76" s="35"/>
      <c r="D76" s="544"/>
      <c r="E76" s="544"/>
      <c r="F76" s="543"/>
      <c r="G76" s="544"/>
      <c r="H76" s="543"/>
      <c r="I76" s="581"/>
      <c r="J76" s="543"/>
      <c r="K76" s="582"/>
      <c r="L76" s="543"/>
      <c r="M76" s="582"/>
      <c r="N76" s="543"/>
      <c r="O76" s="582"/>
      <c r="P76" s="555"/>
    </row>
    <row r="77" spans="1:20">
      <c r="C77" s="553"/>
      <c r="F77" s="555"/>
      <c r="H77" s="555"/>
      <c r="I77" s="553"/>
      <c r="J77" s="555"/>
      <c r="K77" s="544"/>
    </row>
    <row r="78" spans="1:20">
      <c r="B78" s="61"/>
      <c r="C78" s="35"/>
      <c r="D78" s="544"/>
      <c r="E78" s="544"/>
      <c r="F78" s="543"/>
      <c r="G78" s="544"/>
      <c r="H78" s="543"/>
      <c r="I78" s="544"/>
      <c r="J78" s="543"/>
      <c r="K78" s="544"/>
      <c r="L78" s="544"/>
      <c r="M78" s="544"/>
      <c r="N78" s="543"/>
      <c r="O78" s="35"/>
      <c r="P78" s="555"/>
    </row>
    <row r="79" spans="1:20">
      <c r="B79" s="61"/>
      <c r="C79" s="35"/>
      <c r="D79" s="544"/>
      <c r="E79" s="544"/>
      <c r="F79" s="543"/>
      <c r="G79" s="544"/>
      <c r="H79" s="543"/>
      <c r="I79" s="544"/>
      <c r="J79" s="543"/>
      <c r="K79" s="544"/>
      <c r="L79" s="544"/>
      <c r="M79" s="544"/>
      <c r="N79" s="543"/>
      <c r="O79" s="35"/>
      <c r="P79" s="555"/>
    </row>
    <row r="80" spans="1:20">
      <c r="B80" s="590"/>
      <c r="C80" s="591"/>
      <c r="D80" s="549"/>
      <c r="E80" s="549"/>
      <c r="F80" s="552"/>
      <c r="G80" s="592"/>
      <c r="H80" s="594"/>
      <c r="I80" s="592"/>
      <c r="J80" s="595"/>
      <c r="K80" s="549"/>
      <c r="L80" s="552"/>
      <c r="M80" s="549"/>
      <c r="N80" s="544"/>
      <c r="O80" s="591"/>
      <c r="P80" s="552"/>
      <c r="Q80" s="549"/>
    </row>
    <row r="81" spans="1:20">
      <c r="B81" s="590"/>
      <c r="C81" s="549"/>
      <c r="D81" s="549"/>
      <c r="E81" s="549"/>
      <c r="F81" s="552"/>
      <c r="G81" s="591"/>
      <c r="H81" s="550"/>
      <c r="I81" s="591"/>
      <c r="J81" s="595"/>
      <c r="K81" s="549"/>
      <c r="L81" s="552"/>
      <c r="M81" s="549"/>
      <c r="N81" s="544"/>
      <c r="O81" s="549"/>
      <c r="P81" s="549"/>
      <c r="Q81" s="549"/>
    </row>
    <row r="82" spans="1:20">
      <c r="B82" s="590"/>
      <c r="C82" s="591"/>
      <c r="D82" s="549"/>
      <c r="E82" s="549"/>
      <c r="F82" s="552"/>
      <c r="G82" s="592"/>
      <c r="H82" s="594"/>
      <c r="I82" s="592"/>
      <c r="J82" s="595"/>
      <c r="K82" s="549"/>
      <c r="L82" s="552"/>
      <c r="M82" s="549"/>
      <c r="N82" s="544"/>
      <c r="O82" s="591"/>
      <c r="P82" s="552"/>
      <c r="Q82" s="549"/>
    </row>
    <row r="83" spans="1:20">
      <c r="B83" s="590"/>
      <c r="C83" s="549"/>
      <c r="D83" s="549"/>
      <c r="E83" s="549"/>
      <c r="F83" s="552"/>
      <c r="G83" s="591"/>
      <c r="H83" s="550"/>
      <c r="I83" s="591"/>
      <c r="J83" s="595"/>
      <c r="K83" s="549"/>
      <c r="L83" s="552"/>
      <c r="M83" s="549"/>
      <c r="N83" s="544"/>
      <c r="O83" s="549"/>
      <c r="P83" s="549"/>
      <c r="Q83" s="549"/>
    </row>
    <row r="84" spans="1:20">
      <c r="B84" s="590"/>
      <c r="C84" s="591"/>
      <c r="D84" s="549"/>
      <c r="E84" s="549"/>
      <c r="F84" s="552"/>
      <c r="G84" s="592"/>
      <c r="H84" s="594"/>
      <c r="I84" s="592"/>
      <c r="J84" s="595"/>
      <c r="K84" s="549"/>
      <c r="L84" s="552"/>
      <c r="M84" s="549"/>
      <c r="N84" s="544"/>
      <c r="O84" s="591"/>
      <c r="P84" s="552"/>
      <c r="Q84" s="549"/>
    </row>
    <row r="85" spans="1:20">
      <c r="B85" s="590"/>
      <c r="C85" s="549"/>
      <c r="D85" s="549"/>
      <c r="E85" s="549"/>
      <c r="F85" s="552"/>
      <c r="G85" s="591"/>
      <c r="H85" s="550"/>
      <c r="I85" s="591"/>
      <c r="J85" s="595"/>
      <c r="K85" s="549"/>
      <c r="L85" s="552"/>
      <c r="M85" s="549"/>
      <c r="N85" s="544"/>
      <c r="O85" s="549"/>
      <c r="P85" s="549"/>
      <c r="Q85" s="549"/>
    </row>
    <row r="86" spans="1:20">
      <c r="B86" s="590"/>
      <c r="C86" s="591"/>
      <c r="D86" s="549"/>
      <c r="E86" s="549"/>
      <c r="F86" s="552"/>
      <c r="G86" s="592"/>
      <c r="H86" s="593"/>
      <c r="I86" s="594"/>
      <c r="J86" s="595"/>
      <c r="K86" s="549"/>
      <c r="L86" s="552"/>
      <c r="M86" s="549"/>
      <c r="N86" s="544"/>
      <c r="O86" s="591"/>
      <c r="P86" s="552"/>
      <c r="Q86" s="549"/>
    </row>
    <row r="87" spans="1:20">
      <c r="B87" s="590"/>
      <c r="C87" s="549"/>
      <c r="D87" s="549"/>
      <c r="E87" s="549"/>
      <c r="F87" s="552"/>
      <c r="G87" s="591"/>
      <c r="H87" s="595"/>
      <c r="I87" s="550"/>
      <c r="J87" s="595"/>
      <c r="K87" s="549"/>
      <c r="L87" s="552"/>
      <c r="M87" s="549"/>
      <c r="N87" s="544"/>
      <c r="O87" s="549"/>
      <c r="P87" s="549"/>
      <c r="Q87" s="549"/>
    </row>
    <row r="88" spans="1:20">
      <c r="N88" s="543"/>
      <c r="O88" s="553"/>
      <c r="P88" s="555"/>
    </row>
    <row r="89" spans="1:20">
      <c r="I89" s="81"/>
      <c r="J89" s="585"/>
      <c r="K89" s="563"/>
      <c r="L89" s="563"/>
      <c r="M89" s="563"/>
      <c r="N89" s="82"/>
      <c r="O89" s="64"/>
      <c r="P89" s="555"/>
      <c r="R89" s="564"/>
      <c r="S89" s="101"/>
      <c r="T89" s="565"/>
    </row>
    <row r="91" spans="1:20">
      <c r="A91" s="596"/>
      <c r="B91" s="74"/>
      <c r="C91" s="74"/>
      <c r="D91" s="74"/>
      <c r="E91" s="74"/>
      <c r="F91" s="74"/>
      <c r="G91" s="74"/>
      <c r="H91" s="74"/>
      <c r="I91" s="74"/>
      <c r="J91" s="74"/>
      <c r="K91" s="74"/>
      <c r="L91" s="74"/>
      <c r="M91" s="74"/>
      <c r="N91" s="74"/>
      <c r="O91" s="74"/>
      <c r="P91" s="74"/>
      <c r="Q91" s="74"/>
    </row>
    <row r="92" spans="1:20">
      <c r="A92" s="596"/>
      <c r="B92" s="74"/>
      <c r="C92" s="74"/>
      <c r="D92" s="74"/>
      <c r="E92" s="74"/>
      <c r="F92" s="74"/>
      <c r="G92" s="74"/>
      <c r="H92" s="74"/>
      <c r="I92" s="547"/>
      <c r="J92" s="547"/>
      <c r="K92" s="547"/>
      <c r="L92" s="547"/>
      <c r="M92" s="547"/>
      <c r="N92" s="547"/>
      <c r="O92" s="553"/>
      <c r="P92" s="122"/>
      <c r="Q92" s="547"/>
    </row>
    <row r="93" spans="1:20">
      <c r="D93" s="549"/>
      <c r="E93" s="549"/>
      <c r="F93" s="549"/>
      <c r="G93" s="549"/>
      <c r="K93" s="549"/>
      <c r="L93" s="549"/>
      <c r="M93" s="549"/>
      <c r="N93" s="543"/>
      <c r="O93" s="553"/>
      <c r="P93" s="555"/>
    </row>
    <row r="94" spans="1:20">
      <c r="I94" s="81"/>
      <c r="J94" s="585"/>
      <c r="K94" s="563"/>
      <c r="L94" s="563"/>
      <c r="M94" s="563"/>
      <c r="N94" s="82"/>
      <c r="O94" s="64"/>
      <c r="P94" s="555"/>
      <c r="R94" s="564"/>
      <c r="S94" s="101"/>
      <c r="T94" s="565"/>
    </row>
    <row r="95" spans="1:20">
      <c r="B95" s="590"/>
      <c r="C95" s="550"/>
      <c r="D95" s="550"/>
      <c r="E95" s="550"/>
      <c r="F95" s="551"/>
      <c r="G95" s="548"/>
      <c r="H95" s="550"/>
      <c r="I95" s="548"/>
      <c r="J95" s="597"/>
      <c r="K95" s="550"/>
      <c r="L95" s="551"/>
      <c r="M95" s="550"/>
      <c r="N95" s="544"/>
      <c r="O95" s="550"/>
      <c r="P95" s="562"/>
      <c r="Q95" s="562"/>
      <c r="R95" s="588"/>
      <c r="S95" s="562"/>
      <c r="T95" s="589"/>
    </row>
    <row r="96" spans="1:20">
      <c r="B96" s="590"/>
      <c r="C96" s="550"/>
      <c r="D96" s="550"/>
      <c r="E96" s="550"/>
      <c r="F96" s="551"/>
      <c r="G96" s="548"/>
      <c r="H96" s="550"/>
      <c r="I96" s="548"/>
      <c r="J96" s="597"/>
      <c r="K96" s="550"/>
      <c r="L96" s="551"/>
      <c r="M96" s="550"/>
      <c r="N96" s="544"/>
      <c r="O96" s="550"/>
      <c r="P96" s="562"/>
      <c r="Q96" s="562"/>
      <c r="R96" s="588"/>
      <c r="S96" s="562"/>
      <c r="T96" s="589"/>
    </row>
    <row r="97" spans="1:20">
      <c r="A97" s="586"/>
      <c r="B97" s="587"/>
      <c r="C97" s="74"/>
      <c r="D97" s="74"/>
      <c r="E97" s="74"/>
      <c r="F97" s="74"/>
      <c r="G97" s="74"/>
      <c r="H97" s="74"/>
      <c r="I97" s="74"/>
      <c r="J97" s="74"/>
      <c r="K97" s="74"/>
      <c r="L97" s="74"/>
      <c r="M97" s="74"/>
      <c r="N97" s="74"/>
      <c r="O97" s="74"/>
      <c r="P97" s="74"/>
      <c r="Q97" s="74"/>
    </row>
    <row r="98" spans="1:20">
      <c r="B98" s="61"/>
      <c r="C98" s="35"/>
      <c r="D98" s="544"/>
      <c r="E98" s="544"/>
      <c r="F98" s="598"/>
      <c r="G98" s="544"/>
      <c r="H98" s="543"/>
      <c r="I98" s="544"/>
      <c r="J98" s="543"/>
      <c r="K98" s="544"/>
      <c r="L98" s="543"/>
      <c r="M98" s="544"/>
      <c r="N98" s="543"/>
      <c r="O98" s="35"/>
      <c r="P98" s="555"/>
    </row>
    <row r="99" spans="1:20">
      <c r="B99" s="61"/>
      <c r="C99" s="35"/>
      <c r="D99" s="544"/>
      <c r="E99" s="544"/>
      <c r="F99" s="598"/>
      <c r="G99" s="544"/>
      <c r="H99" s="543"/>
      <c r="I99" s="544"/>
      <c r="J99" s="543"/>
      <c r="K99" s="544"/>
      <c r="L99" s="543"/>
      <c r="M99" s="544"/>
      <c r="N99" s="543"/>
      <c r="O99" s="35"/>
      <c r="P99" s="555"/>
    </row>
    <row r="100" spans="1:20">
      <c r="B100" s="61"/>
      <c r="C100" s="35"/>
      <c r="D100" s="544"/>
      <c r="E100" s="544"/>
      <c r="F100" s="543"/>
      <c r="G100" s="544"/>
      <c r="H100" s="543"/>
      <c r="I100" s="544"/>
      <c r="J100" s="543"/>
      <c r="K100" s="544"/>
      <c r="L100" s="543"/>
      <c r="M100" s="544"/>
      <c r="N100" s="543"/>
      <c r="O100" s="35"/>
      <c r="P100" s="555"/>
    </row>
    <row r="101" spans="1:20">
      <c r="B101" s="61"/>
      <c r="C101" s="35"/>
      <c r="D101" s="544"/>
      <c r="E101" s="544"/>
      <c r="F101" s="543"/>
      <c r="G101" s="544"/>
      <c r="H101" s="543"/>
      <c r="I101" s="544"/>
      <c r="J101" s="543"/>
      <c r="K101" s="544"/>
      <c r="L101" s="543"/>
      <c r="M101" s="544"/>
      <c r="N101" s="543"/>
      <c r="O101" s="35"/>
      <c r="P101" s="555"/>
    </row>
    <row r="102" spans="1:20">
      <c r="B102" s="590"/>
      <c r="C102" s="591"/>
      <c r="D102" s="549"/>
      <c r="E102" s="549"/>
      <c r="F102" s="599"/>
      <c r="G102" s="592"/>
      <c r="H102" s="594"/>
      <c r="I102" s="592"/>
      <c r="J102" s="595"/>
      <c r="K102" s="549"/>
      <c r="L102" s="552"/>
      <c r="M102" s="549"/>
      <c r="N102" s="544"/>
      <c r="O102" s="591"/>
      <c r="P102" s="552"/>
      <c r="Q102" s="549"/>
    </row>
    <row r="103" spans="1:20">
      <c r="B103" s="590"/>
      <c r="C103" s="549"/>
      <c r="D103" s="549"/>
      <c r="E103" s="549"/>
      <c r="F103" s="599"/>
      <c r="G103" s="591"/>
      <c r="H103" s="550"/>
      <c r="I103" s="591"/>
      <c r="J103" s="595"/>
      <c r="K103" s="549"/>
      <c r="L103" s="552"/>
      <c r="M103" s="549"/>
      <c r="N103" s="544"/>
      <c r="O103" s="549"/>
      <c r="P103" s="549"/>
      <c r="Q103" s="549"/>
    </row>
    <row r="104" spans="1:20">
      <c r="C104" s="553"/>
      <c r="F104" s="555"/>
      <c r="H104" s="555"/>
      <c r="I104" s="553"/>
      <c r="J104" s="555"/>
      <c r="N104" s="543"/>
      <c r="O104" s="553"/>
      <c r="P104" s="555"/>
    </row>
    <row r="105" spans="1:20">
      <c r="E105" s="563"/>
      <c r="F105" s="563"/>
      <c r="G105" s="35"/>
      <c r="H105" s="564"/>
      <c r="I105" s="564"/>
      <c r="J105" s="564"/>
      <c r="K105" s="563"/>
      <c r="L105" s="563"/>
      <c r="M105" s="564"/>
      <c r="N105" s="564"/>
      <c r="O105" s="564"/>
      <c r="P105" s="101"/>
      <c r="R105" s="564"/>
      <c r="S105" s="101"/>
      <c r="T105" s="565"/>
    </row>
    <row r="106" spans="1:20">
      <c r="I106" s="81"/>
      <c r="J106" s="585"/>
      <c r="K106" s="563"/>
      <c r="L106" s="563"/>
      <c r="M106" s="563"/>
      <c r="N106" s="82"/>
      <c r="O106" s="64"/>
      <c r="P106" s="555"/>
      <c r="R106" s="554"/>
      <c r="S106" s="557"/>
      <c r="T106" s="565"/>
    </row>
    <row r="107" spans="1:20">
      <c r="A107" s="586"/>
      <c r="B107" s="74"/>
      <c r="C107" s="74"/>
      <c r="D107" s="74"/>
      <c r="E107" s="74"/>
      <c r="F107" s="74"/>
      <c r="G107" s="74"/>
      <c r="H107" s="74"/>
      <c r="I107" s="74"/>
      <c r="J107" s="74"/>
      <c r="K107" s="74"/>
      <c r="L107" s="74"/>
      <c r="M107" s="74"/>
      <c r="N107" s="74"/>
      <c r="O107" s="74"/>
      <c r="P107" s="74"/>
      <c r="Q107" s="74"/>
    </row>
    <row r="108" spans="1:20">
      <c r="B108" s="61"/>
      <c r="C108" s="35"/>
      <c r="D108" s="544"/>
      <c r="E108" s="544"/>
      <c r="F108" s="598"/>
      <c r="G108" s="544"/>
      <c r="H108" s="543"/>
      <c r="I108" s="544"/>
      <c r="J108" s="543"/>
      <c r="K108" s="544"/>
      <c r="L108" s="543"/>
      <c r="M108" s="544"/>
      <c r="N108" s="543"/>
      <c r="O108" s="35"/>
      <c r="P108" s="555"/>
      <c r="Q108" s="61"/>
    </row>
    <row r="109" spans="1:20">
      <c r="B109" s="61"/>
      <c r="C109" s="35"/>
      <c r="D109" s="544"/>
      <c r="E109" s="544"/>
      <c r="F109" s="598"/>
      <c r="G109" s="544"/>
      <c r="H109" s="543"/>
      <c r="I109" s="544"/>
      <c r="J109" s="543"/>
      <c r="K109" s="544"/>
      <c r="L109" s="543"/>
      <c r="M109" s="544"/>
      <c r="N109" s="543"/>
      <c r="O109" s="35"/>
      <c r="P109" s="555"/>
      <c r="Q109" s="61"/>
    </row>
    <row r="110" spans="1:20">
      <c r="B110" s="61"/>
      <c r="C110" s="35"/>
      <c r="F110" s="544"/>
      <c r="G110" s="544"/>
      <c r="H110" s="543"/>
      <c r="I110" s="544"/>
      <c r="J110" s="543"/>
      <c r="K110" s="544"/>
      <c r="L110" s="543"/>
      <c r="M110" s="544"/>
      <c r="N110" s="543"/>
      <c r="O110" s="35"/>
      <c r="P110" s="555"/>
      <c r="Q110" s="61"/>
    </row>
    <row r="111" spans="1:20">
      <c r="B111" s="61"/>
      <c r="C111" s="35"/>
      <c r="D111" s="544"/>
      <c r="E111" s="544"/>
      <c r="F111" s="598"/>
      <c r="G111" s="544"/>
      <c r="H111" s="543"/>
      <c r="I111" s="544"/>
      <c r="J111" s="543"/>
      <c r="K111" s="544"/>
      <c r="L111" s="543"/>
      <c r="M111" s="544"/>
      <c r="N111" s="543"/>
      <c r="O111" s="35"/>
      <c r="P111" s="555"/>
      <c r="Q111" s="61"/>
    </row>
    <row r="112" spans="1:20">
      <c r="B112" s="61"/>
      <c r="C112" s="35"/>
      <c r="D112" s="544"/>
      <c r="E112" s="544"/>
      <c r="F112" s="598"/>
      <c r="G112" s="544"/>
      <c r="H112" s="543"/>
      <c r="I112" s="544"/>
      <c r="J112" s="543"/>
      <c r="K112" s="544"/>
      <c r="L112" s="543"/>
      <c r="M112" s="544"/>
      <c r="N112" s="543"/>
      <c r="O112" s="35"/>
      <c r="P112" s="555"/>
      <c r="Q112" s="61"/>
    </row>
    <row r="113" spans="1:21">
      <c r="B113" s="61"/>
      <c r="C113" s="35"/>
      <c r="D113" s="544"/>
      <c r="E113" s="544"/>
      <c r="F113" s="543"/>
      <c r="G113" s="544"/>
      <c r="H113" s="543"/>
      <c r="I113" s="544"/>
      <c r="J113" s="543"/>
      <c r="K113" s="544"/>
      <c r="L113" s="543"/>
      <c r="M113" s="544"/>
      <c r="N113" s="543"/>
      <c r="O113" s="35"/>
      <c r="P113" s="555"/>
    </row>
    <row r="114" spans="1:21">
      <c r="B114" s="590"/>
      <c r="C114" s="591"/>
      <c r="D114" s="549"/>
      <c r="E114" s="549"/>
      <c r="F114" s="599"/>
      <c r="G114" s="592"/>
      <c r="H114" s="594"/>
      <c r="I114" s="592"/>
      <c r="J114" s="595"/>
      <c r="K114" s="549"/>
      <c r="L114" s="552"/>
      <c r="M114" s="549"/>
      <c r="N114" s="544"/>
      <c r="O114" s="591"/>
      <c r="P114" s="552"/>
      <c r="Q114" s="592"/>
    </row>
    <row r="115" spans="1:21">
      <c r="B115" s="590"/>
      <c r="C115" s="549"/>
      <c r="D115" s="549"/>
      <c r="E115" s="549"/>
      <c r="F115" s="599"/>
      <c r="G115" s="591"/>
      <c r="H115" s="550"/>
      <c r="I115" s="591"/>
      <c r="J115" s="595"/>
      <c r="K115" s="549"/>
      <c r="L115" s="552"/>
      <c r="M115" s="549"/>
      <c r="N115" s="544"/>
      <c r="O115" s="549"/>
      <c r="P115" s="549"/>
      <c r="Q115" s="549"/>
    </row>
    <row r="116" spans="1:21">
      <c r="C116" s="553"/>
      <c r="F116" s="555"/>
      <c r="H116" s="555"/>
      <c r="I116" s="553"/>
      <c r="J116" s="555"/>
      <c r="N116" s="543"/>
      <c r="O116" s="553"/>
      <c r="P116" s="555"/>
      <c r="Q116" s="61"/>
    </row>
    <row r="117" spans="1:21">
      <c r="E117" s="563"/>
      <c r="F117" s="563"/>
      <c r="G117" s="35"/>
      <c r="H117" s="564"/>
      <c r="I117" s="564"/>
      <c r="J117" s="564"/>
      <c r="K117" s="101"/>
      <c r="L117" s="101"/>
      <c r="M117" s="600"/>
      <c r="N117" s="564"/>
      <c r="O117" s="564"/>
      <c r="P117" s="101"/>
      <c r="R117" s="564"/>
      <c r="S117" s="101"/>
      <c r="T117" s="565"/>
    </row>
    <row r="118" spans="1:21">
      <c r="E118" s="543"/>
      <c r="F118" s="543"/>
      <c r="G118" s="35"/>
      <c r="H118" s="554"/>
      <c r="I118" s="554"/>
      <c r="J118" s="554"/>
      <c r="M118" s="601"/>
      <c r="N118" s="82"/>
      <c r="O118" s="82"/>
      <c r="P118" s="64"/>
      <c r="R118" s="554"/>
      <c r="S118" s="557"/>
      <c r="T118" s="565"/>
    </row>
    <row r="119" spans="1:21">
      <c r="A119" s="602"/>
      <c r="B119" s="603"/>
      <c r="C119" s="603"/>
      <c r="D119" s="603"/>
      <c r="E119" s="603"/>
      <c r="F119" s="603"/>
      <c r="G119" s="603"/>
      <c r="H119" s="603"/>
      <c r="I119" s="603"/>
      <c r="J119" s="603"/>
      <c r="K119" s="603"/>
      <c r="L119" s="603"/>
      <c r="M119" s="603"/>
      <c r="N119" s="603"/>
      <c r="O119" s="603"/>
      <c r="P119" s="603"/>
      <c r="Q119" s="603"/>
      <c r="R119" s="480"/>
      <c r="S119" s="480"/>
      <c r="T119" s="604"/>
    </row>
    <row r="120" spans="1:21">
      <c r="A120" s="602"/>
      <c r="B120" s="605"/>
      <c r="C120" s="603"/>
      <c r="D120" s="603"/>
      <c r="E120" s="603"/>
      <c r="F120" s="603"/>
      <c r="G120" s="603"/>
      <c r="H120" s="603"/>
      <c r="I120" s="603"/>
      <c r="J120" s="603"/>
      <c r="K120" s="603"/>
      <c r="L120" s="603"/>
      <c r="M120" s="603"/>
      <c r="N120" s="603"/>
      <c r="O120" s="603"/>
      <c r="P120" s="603"/>
      <c r="Q120" s="603"/>
      <c r="R120" s="480"/>
      <c r="S120" s="480"/>
      <c r="T120" s="604"/>
    </row>
    <row r="121" spans="1:21">
      <c r="A121" s="602"/>
      <c r="B121" s="603"/>
      <c r="C121" s="603"/>
      <c r="D121" s="603"/>
      <c r="E121" s="603"/>
      <c r="F121" s="603"/>
      <c r="G121" s="603"/>
      <c r="H121" s="603"/>
      <c r="I121" s="603"/>
      <c r="J121" s="603"/>
      <c r="K121" s="603"/>
      <c r="L121" s="603"/>
      <c r="M121" s="603"/>
      <c r="N121" s="603"/>
      <c r="O121" s="603"/>
      <c r="P121" s="603"/>
      <c r="Q121" s="603"/>
      <c r="R121" s="480"/>
      <c r="S121" s="480"/>
      <c r="T121" s="604"/>
    </row>
    <row r="122" spans="1:21">
      <c r="A122" s="606"/>
      <c r="B122" s="607"/>
      <c r="C122" s="607"/>
      <c r="D122" s="607"/>
      <c r="E122" s="607"/>
      <c r="F122" s="608"/>
      <c r="G122" s="604"/>
      <c r="H122" s="608"/>
      <c r="I122" s="604"/>
      <c r="J122" s="609"/>
      <c r="K122" s="604"/>
      <c r="L122" s="608"/>
      <c r="M122" s="478"/>
      <c r="N122" s="610"/>
      <c r="O122" s="610"/>
      <c r="P122" s="480"/>
      <c r="Q122" s="480"/>
      <c r="R122" s="480"/>
      <c r="S122" s="480"/>
      <c r="T122" s="604"/>
    </row>
    <row r="123" spans="1:21">
      <c r="A123" s="606"/>
      <c r="B123" s="607"/>
      <c r="C123" s="607"/>
      <c r="D123" s="607"/>
      <c r="E123" s="607"/>
      <c r="F123" s="608"/>
      <c r="G123" s="604"/>
      <c r="H123" s="608"/>
      <c r="I123" s="604"/>
      <c r="J123" s="609"/>
      <c r="K123" s="604"/>
      <c r="L123" s="608"/>
      <c r="M123" s="478"/>
      <c r="N123" s="610"/>
      <c r="O123" s="610"/>
      <c r="P123" s="480"/>
      <c r="Q123" s="480"/>
      <c r="R123" s="480"/>
      <c r="S123" s="480"/>
      <c r="T123" s="604"/>
    </row>
    <row r="124" spans="1:21" s="61" customFormat="1">
      <c r="A124" s="480"/>
      <c r="B124" s="480"/>
      <c r="C124" s="480"/>
      <c r="D124" s="480"/>
      <c r="E124" s="611"/>
      <c r="F124" s="480"/>
      <c r="G124" s="480"/>
      <c r="H124" s="609"/>
      <c r="I124" s="478"/>
      <c r="J124" s="609"/>
      <c r="K124" s="607"/>
      <c r="L124" s="607"/>
      <c r="M124" s="478"/>
      <c r="N124" s="610"/>
      <c r="O124" s="610"/>
      <c r="P124" s="480"/>
      <c r="Q124" s="480"/>
      <c r="R124" s="480"/>
      <c r="S124" s="480"/>
      <c r="T124" s="604"/>
    </row>
    <row r="125" spans="1:21" s="61" customFormat="1">
      <c r="A125" s="480"/>
      <c r="B125" s="480"/>
      <c r="C125" s="480"/>
      <c r="D125" s="480"/>
      <c r="F125" s="612"/>
      <c r="G125" s="612"/>
      <c r="H125" s="613"/>
      <c r="I125" s="607"/>
      <c r="J125" s="614"/>
      <c r="M125" s="478"/>
      <c r="N125" s="615"/>
      <c r="O125" s="615"/>
      <c r="P125" s="616"/>
      <c r="Q125" s="480"/>
    </row>
    <row r="126" spans="1:21" s="61" customFormat="1">
      <c r="A126" s="602"/>
      <c r="B126" s="603"/>
      <c r="C126" s="603"/>
      <c r="D126" s="603"/>
      <c r="E126" s="603"/>
      <c r="F126" s="603"/>
      <c r="G126" s="603"/>
      <c r="H126" s="603"/>
      <c r="I126" s="603"/>
      <c r="J126" s="603"/>
      <c r="K126" s="603"/>
      <c r="L126" s="603"/>
      <c r="M126" s="603"/>
      <c r="N126" s="603"/>
      <c r="O126" s="603"/>
      <c r="P126" s="603"/>
      <c r="Q126" s="603"/>
      <c r="R126" s="480"/>
      <c r="S126" s="480"/>
      <c r="T126" s="604"/>
    </row>
    <row r="127" spans="1:21" s="61" customFormat="1">
      <c r="A127" s="606"/>
      <c r="B127" s="607"/>
      <c r="C127" s="607"/>
      <c r="D127" s="607"/>
      <c r="E127" s="607"/>
      <c r="F127" s="608"/>
      <c r="G127" s="604"/>
      <c r="H127" s="608"/>
      <c r="I127" s="604"/>
      <c r="J127" s="609"/>
      <c r="K127" s="604"/>
      <c r="L127" s="608"/>
      <c r="M127" s="478"/>
      <c r="N127" s="610"/>
      <c r="O127" s="610"/>
      <c r="P127" s="480"/>
      <c r="Q127" s="480"/>
      <c r="R127" s="480"/>
      <c r="S127" s="480"/>
      <c r="T127" s="604"/>
      <c r="U127" s="18"/>
    </row>
    <row r="128" spans="1:21" s="61" customFormat="1">
      <c r="A128" s="606"/>
      <c r="B128" s="607"/>
      <c r="C128" s="607"/>
      <c r="D128" s="607"/>
      <c r="E128" s="607"/>
      <c r="F128" s="608"/>
      <c r="G128" s="604"/>
      <c r="H128" s="608"/>
      <c r="I128" s="604"/>
      <c r="J128" s="609"/>
      <c r="K128" s="604"/>
      <c r="L128" s="608"/>
      <c r="M128" s="478"/>
      <c r="N128" s="610"/>
      <c r="O128" s="610"/>
      <c r="P128" s="480"/>
      <c r="Q128" s="480"/>
      <c r="R128" s="480"/>
      <c r="S128" s="480"/>
      <c r="T128" s="604"/>
      <c r="U128" s="18"/>
    </row>
    <row r="129" spans="1:21" s="61" customFormat="1">
      <c r="A129" s="480"/>
      <c r="B129" s="480"/>
      <c r="C129" s="480"/>
      <c r="D129" s="480"/>
      <c r="E129" s="611"/>
      <c r="F129" s="480"/>
      <c r="G129" s="480"/>
      <c r="H129" s="609"/>
      <c r="I129" s="478"/>
      <c r="J129" s="609"/>
      <c r="K129" s="607"/>
      <c r="L129" s="607"/>
      <c r="M129" s="478"/>
      <c r="N129" s="610"/>
      <c r="O129" s="610"/>
      <c r="P129" s="480"/>
      <c r="Q129" s="480"/>
      <c r="R129" s="480"/>
      <c r="S129" s="480"/>
      <c r="T129" s="604"/>
      <c r="U129" s="18"/>
    </row>
    <row r="130" spans="1:21" s="61" customFormat="1">
      <c r="A130" s="480"/>
      <c r="B130" s="480"/>
      <c r="C130" s="480"/>
      <c r="D130" s="480"/>
      <c r="F130" s="612"/>
      <c r="G130" s="612"/>
      <c r="H130" s="613"/>
      <c r="I130" s="607"/>
      <c r="J130" s="614"/>
      <c r="M130" s="478"/>
      <c r="N130" s="615"/>
      <c r="O130" s="615"/>
      <c r="P130" s="616"/>
      <c r="Q130" s="480"/>
      <c r="U130" s="18"/>
    </row>
    <row r="131" spans="1:21" s="61" customFormat="1">
      <c r="A131" s="602"/>
      <c r="B131" s="603"/>
      <c r="C131" s="603"/>
      <c r="D131" s="603"/>
      <c r="E131" s="603"/>
      <c r="F131" s="603"/>
      <c r="G131" s="603"/>
      <c r="H131" s="603"/>
      <c r="I131" s="603"/>
      <c r="J131" s="603"/>
      <c r="K131" s="603"/>
      <c r="L131" s="603"/>
      <c r="M131" s="603"/>
      <c r="N131" s="603"/>
      <c r="O131" s="603"/>
      <c r="P131" s="603"/>
      <c r="Q131" s="603"/>
      <c r="R131" s="480"/>
      <c r="S131" s="480"/>
      <c r="T131" s="604"/>
    </row>
    <row r="132" spans="1:21" s="61" customFormat="1">
      <c r="A132" s="606"/>
      <c r="B132" s="607"/>
      <c r="C132" s="607"/>
      <c r="D132" s="607"/>
      <c r="E132" s="607"/>
      <c r="F132" s="608"/>
      <c r="G132" s="604"/>
      <c r="H132" s="608"/>
      <c r="I132" s="604"/>
      <c r="J132" s="609"/>
      <c r="K132" s="604"/>
      <c r="L132" s="608"/>
      <c r="M132" s="478"/>
      <c r="N132" s="610"/>
      <c r="O132" s="610"/>
      <c r="P132" s="480"/>
      <c r="Q132" s="480"/>
      <c r="R132" s="480"/>
      <c r="S132" s="480"/>
      <c r="T132" s="604"/>
      <c r="U132" s="18"/>
    </row>
    <row r="133" spans="1:21" s="61" customFormat="1">
      <c r="A133" s="606"/>
      <c r="B133" s="607"/>
      <c r="C133" s="607"/>
      <c r="D133" s="607"/>
      <c r="E133" s="607"/>
      <c r="F133" s="608"/>
      <c r="G133" s="604"/>
      <c r="H133" s="608"/>
      <c r="I133" s="604"/>
      <c r="J133" s="609"/>
      <c r="K133" s="604"/>
      <c r="L133" s="608"/>
      <c r="M133" s="478"/>
      <c r="N133" s="610"/>
      <c r="O133" s="610"/>
      <c r="P133" s="480"/>
      <c r="Q133" s="480"/>
      <c r="R133" s="480"/>
      <c r="S133" s="480"/>
      <c r="T133" s="604"/>
      <c r="U133" s="18"/>
    </row>
    <row r="134" spans="1:21" s="61" customFormat="1">
      <c r="A134" s="606"/>
      <c r="B134" s="607"/>
      <c r="C134" s="607"/>
      <c r="D134" s="607"/>
      <c r="E134" s="607"/>
      <c r="F134" s="608"/>
      <c r="G134" s="604"/>
      <c r="H134" s="608"/>
      <c r="I134" s="604"/>
      <c r="J134" s="609"/>
      <c r="K134" s="604"/>
      <c r="L134" s="608"/>
      <c r="M134" s="478"/>
      <c r="N134" s="610"/>
      <c r="O134" s="610"/>
      <c r="P134" s="480"/>
      <c r="Q134" s="480"/>
      <c r="R134" s="480"/>
      <c r="S134" s="480"/>
      <c r="T134" s="604"/>
      <c r="U134" s="18"/>
    </row>
    <row r="135" spans="1:21" s="61" customFormat="1">
      <c r="A135" s="480"/>
      <c r="B135" s="480"/>
      <c r="C135" s="480"/>
      <c r="D135" s="480"/>
      <c r="E135" s="611"/>
      <c r="F135" s="480"/>
      <c r="G135" s="480"/>
      <c r="H135" s="609"/>
      <c r="I135" s="478"/>
      <c r="J135" s="609"/>
      <c r="K135" s="607"/>
      <c r="L135" s="607"/>
      <c r="M135" s="478"/>
      <c r="N135" s="610"/>
      <c r="O135" s="610"/>
      <c r="P135" s="480"/>
      <c r="Q135" s="480"/>
      <c r="R135" s="480"/>
      <c r="S135" s="480"/>
      <c r="T135" s="604"/>
      <c r="U135" s="18"/>
    </row>
    <row r="136" spans="1:21" s="61" customFormat="1">
      <c r="A136" s="480"/>
      <c r="B136" s="480"/>
      <c r="C136" s="480"/>
      <c r="D136" s="480"/>
      <c r="F136" s="612"/>
      <c r="G136" s="612"/>
      <c r="H136" s="613"/>
      <c r="I136" s="607"/>
      <c r="J136" s="614"/>
      <c r="M136" s="478"/>
      <c r="N136" s="615"/>
      <c r="O136" s="615"/>
      <c r="P136" s="616"/>
      <c r="Q136" s="480"/>
      <c r="U136" s="18"/>
    </row>
    <row r="137" spans="1:21" s="61" customFormat="1">
      <c r="A137" s="602"/>
      <c r="B137" s="603"/>
      <c r="C137" s="603"/>
      <c r="D137" s="603"/>
      <c r="E137" s="603"/>
      <c r="F137" s="603"/>
      <c r="G137" s="603"/>
      <c r="H137" s="603"/>
      <c r="I137" s="603"/>
      <c r="J137" s="603"/>
      <c r="K137" s="603"/>
      <c r="L137" s="603"/>
      <c r="M137" s="603"/>
      <c r="N137" s="603"/>
      <c r="O137" s="603"/>
      <c r="P137" s="603"/>
      <c r="Q137" s="603"/>
      <c r="R137" s="480"/>
      <c r="S137" s="480"/>
      <c r="T137" s="604"/>
      <c r="U137" s="18"/>
    </row>
    <row r="138" spans="1:21" s="61" customFormat="1">
      <c r="A138" s="480"/>
      <c r="B138" s="480"/>
      <c r="C138" s="480"/>
      <c r="F138" s="608"/>
      <c r="G138" s="604"/>
      <c r="H138" s="608"/>
      <c r="I138" s="604"/>
      <c r="J138" s="609"/>
      <c r="K138" s="604"/>
      <c r="L138" s="608"/>
      <c r="M138" s="478"/>
      <c r="N138" s="610"/>
      <c r="O138" s="610"/>
      <c r="P138" s="480"/>
      <c r="Q138" s="480"/>
      <c r="R138" s="480"/>
      <c r="S138" s="480"/>
      <c r="T138" s="604"/>
      <c r="U138" s="18"/>
    </row>
    <row r="139" spans="1:21" s="61" customFormat="1">
      <c r="A139" s="480"/>
      <c r="B139" s="480"/>
      <c r="C139" s="480"/>
      <c r="D139" s="480"/>
      <c r="E139" s="611"/>
      <c r="F139" s="480"/>
      <c r="G139" s="480"/>
      <c r="H139" s="609"/>
      <c r="I139" s="478"/>
      <c r="J139" s="609"/>
      <c r="K139" s="607"/>
      <c r="L139" s="607"/>
      <c r="M139" s="478"/>
      <c r="N139" s="610"/>
      <c r="O139" s="610"/>
      <c r="P139" s="480"/>
      <c r="U139" s="18"/>
    </row>
    <row r="140" spans="1:21" s="61" customFormat="1">
      <c r="A140" s="480"/>
      <c r="B140" s="480"/>
      <c r="C140" s="480"/>
      <c r="D140" s="480"/>
      <c r="F140" s="612"/>
      <c r="G140" s="612"/>
      <c r="H140" s="613"/>
      <c r="I140" s="607"/>
      <c r="J140" s="614"/>
      <c r="M140" s="478"/>
      <c r="N140" s="615"/>
      <c r="O140" s="615"/>
      <c r="P140" s="617"/>
      <c r="U140" s="18"/>
    </row>
    <row r="141" spans="1:21" s="61" customFormat="1">
      <c r="A141" s="480"/>
      <c r="B141" s="480"/>
      <c r="C141" s="480"/>
      <c r="D141" s="480"/>
      <c r="F141" s="618"/>
      <c r="G141" s="613"/>
      <c r="H141" s="613"/>
      <c r="I141" s="619"/>
      <c r="J141" s="620"/>
      <c r="M141" s="478"/>
      <c r="N141" s="610"/>
      <c r="O141" s="610"/>
      <c r="P141" s="621"/>
      <c r="Q141" s="480"/>
      <c r="U141" s="18"/>
    </row>
    <row r="142" spans="1:21" s="61" customFormat="1">
      <c r="A142" s="480"/>
      <c r="B142" s="480"/>
      <c r="C142" s="480"/>
      <c r="D142" s="480"/>
      <c r="F142" s="618"/>
      <c r="G142" s="613"/>
      <c r="H142" s="613"/>
      <c r="I142" s="619"/>
      <c r="J142" s="620"/>
      <c r="M142" s="478"/>
      <c r="N142" s="622"/>
      <c r="O142" s="621"/>
      <c r="P142" s="621"/>
      <c r="Q142" s="480"/>
      <c r="U142" s="18"/>
    </row>
    <row r="143" spans="1:21" s="61" customFormat="1">
      <c r="A143" s="480"/>
      <c r="B143" s="480"/>
      <c r="C143" s="480"/>
      <c r="D143" s="480"/>
      <c r="E143" s="480"/>
      <c r="F143" s="480"/>
      <c r="G143" s="480"/>
      <c r="H143" s="480"/>
      <c r="I143" s="480"/>
      <c r="J143" s="612"/>
      <c r="K143" s="612"/>
      <c r="L143" s="610"/>
      <c r="M143" s="610"/>
      <c r="N143" s="614"/>
      <c r="O143" s="614"/>
      <c r="P143" s="480"/>
      <c r="Q143" s="480"/>
      <c r="R143" s="478"/>
      <c r="S143" s="606"/>
      <c r="T143" s="623"/>
      <c r="U143" s="18"/>
    </row>
    <row r="144" spans="1:21" s="61" customFormat="1">
      <c r="A144" s="18"/>
      <c r="B144" s="18"/>
      <c r="C144" s="18"/>
      <c r="D144" s="18"/>
      <c r="E144" s="18"/>
      <c r="F144" s="18"/>
      <c r="G144" s="18"/>
      <c r="H144" s="18"/>
      <c r="I144" s="81"/>
      <c r="J144" s="81"/>
      <c r="K144" s="81"/>
      <c r="L144" s="545"/>
      <c r="M144" s="545"/>
      <c r="N144" s="82"/>
      <c r="O144" s="64"/>
      <c r="P144" s="555"/>
      <c r="Q144" s="18"/>
      <c r="R144" s="554"/>
      <c r="S144" s="557"/>
      <c r="T144" s="565"/>
      <c r="U144" s="18"/>
    </row>
    <row r="145" spans="1:21" s="61" customFormat="1">
      <c r="A145" s="18"/>
      <c r="B145" s="18"/>
      <c r="C145" s="18"/>
      <c r="D145" s="18"/>
      <c r="E145" s="18"/>
      <c r="F145" s="18"/>
      <c r="G145" s="18"/>
      <c r="H145" s="18"/>
      <c r="I145" s="81"/>
      <c r="J145" s="81"/>
      <c r="K145" s="81"/>
      <c r="L145" s="545"/>
      <c r="M145" s="545"/>
      <c r="N145" s="82"/>
      <c r="O145" s="64"/>
      <c r="P145" s="555"/>
      <c r="Q145" s="18"/>
      <c r="R145" s="554"/>
      <c r="S145" s="557"/>
      <c r="T145" s="565"/>
      <c r="U145" s="18"/>
    </row>
    <row r="146" spans="1:21">
      <c r="H146" s="81"/>
      <c r="I146" s="81"/>
      <c r="J146" s="545"/>
      <c r="K146" s="545"/>
      <c r="L146" s="545"/>
      <c r="M146" s="545"/>
      <c r="N146" s="82"/>
      <c r="O146" s="64"/>
      <c r="P146" s="562"/>
      <c r="Q146" s="562"/>
      <c r="R146" s="588"/>
      <c r="S146" s="562"/>
      <c r="T146" s="589"/>
    </row>
    <row r="147" spans="1:21">
      <c r="H147" s="81"/>
      <c r="I147" s="81"/>
      <c r="J147" s="545"/>
      <c r="K147" s="545"/>
      <c r="L147" s="545"/>
      <c r="M147" s="545"/>
      <c r="N147" s="82"/>
      <c r="O147" s="64"/>
      <c r="P147" s="562"/>
      <c r="Q147" s="562"/>
      <c r="R147" s="588"/>
      <c r="S147" s="562"/>
      <c r="T147" s="589"/>
    </row>
    <row r="148" spans="1:21">
      <c r="A148" s="586"/>
      <c r="B148" s="74"/>
      <c r="C148" s="74"/>
      <c r="D148" s="74"/>
      <c r="E148" s="74"/>
      <c r="F148" s="74"/>
      <c r="G148" s="74"/>
      <c r="H148" s="74"/>
      <c r="I148" s="74"/>
      <c r="J148" s="74"/>
      <c r="K148" s="74"/>
      <c r="L148" s="74"/>
      <c r="M148" s="74"/>
      <c r="N148" s="74"/>
      <c r="O148" s="74"/>
      <c r="P148" s="74"/>
      <c r="Q148" s="74"/>
    </row>
    <row r="149" spans="1:21">
      <c r="B149" s="61"/>
      <c r="C149" s="35"/>
      <c r="D149" s="544"/>
      <c r="E149" s="544"/>
      <c r="F149" s="598"/>
      <c r="G149" s="544"/>
      <c r="H149" s="543"/>
      <c r="I149" s="544"/>
      <c r="J149" s="543"/>
      <c r="K149" s="544"/>
      <c r="L149" s="543"/>
      <c r="M149" s="544"/>
      <c r="N149" s="543"/>
      <c r="O149" s="35"/>
      <c r="P149" s="555"/>
      <c r="Q149" s="61"/>
    </row>
    <row r="150" spans="1:21">
      <c r="B150" s="61"/>
      <c r="C150" s="35"/>
      <c r="D150" s="544"/>
      <c r="E150" s="544"/>
      <c r="F150" s="598"/>
      <c r="G150" s="544"/>
      <c r="H150" s="543"/>
      <c r="I150" s="544"/>
      <c r="J150" s="543"/>
      <c r="K150" s="544"/>
      <c r="L150" s="543"/>
      <c r="M150" s="544"/>
      <c r="N150" s="543"/>
      <c r="O150" s="35"/>
      <c r="P150" s="555"/>
      <c r="Q150" s="61"/>
    </row>
    <row r="151" spans="1:21">
      <c r="B151" s="61"/>
      <c r="C151" s="35"/>
      <c r="F151" s="544"/>
      <c r="G151" s="544"/>
      <c r="H151" s="543"/>
      <c r="I151" s="544"/>
      <c r="J151" s="543"/>
      <c r="K151" s="544"/>
      <c r="L151" s="543"/>
      <c r="M151" s="544"/>
      <c r="N151" s="543"/>
      <c r="O151" s="35"/>
      <c r="P151" s="555"/>
      <c r="Q151" s="61"/>
    </row>
    <row r="152" spans="1:21">
      <c r="B152" s="61"/>
      <c r="C152" s="35"/>
      <c r="D152" s="544"/>
      <c r="E152" s="544"/>
      <c r="F152" s="598"/>
      <c r="G152" s="544"/>
      <c r="H152" s="543"/>
      <c r="I152" s="544"/>
      <c r="J152" s="543"/>
      <c r="K152" s="544"/>
      <c r="L152" s="543"/>
      <c r="M152" s="544"/>
      <c r="N152" s="543"/>
      <c r="O152" s="35"/>
      <c r="P152" s="555"/>
      <c r="Q152" s="61"/>
    </row>
    <row r="153" spans="1:21">
      <c r="B153" s="61"/>
      <c r="C153" s="35"/>
      <c r="D153" s="544"/>
      <c r="E153" s="544"/>
      <c r="F153" s="598"/>
      <c r="G153" s="544"/>
      <c r="H153" s="543"/>
      <c r="I153" s="544"/>
      <c r="J153" s="543"/>
      <c r="K153" s="544"/>
      <c r="L153" s="543"/>
      <c r="M153" s="544"/>
      <c r="N153" s="543"/>
      <c r="O153" s="35"/>
      <c r="P153" s="555"/>
      <c r="Q153" s="61"/>
    </row>
    <row r="154" spans="1:21">
      <c r="B154" s="61"/>
      <c r="C154" s="35"/>
      <c r="D154" s="544"/>
      <c r="E154" s="544"/>
      <c r="F154" s="543"/>
      <c r="G154" s="544"/>
      <c r="H154" s="543"/>
      <c r="I154" s="544"/>
      <c r="J154" s="543"/>
      <c r="K154" s="544"/>
      <c r="L154" s="543"/>
      <c r="M154" s="544"/>
      <c r="N154" s="543"/>
      <c r="O154" s="35"/>
      <c r="P154" s="555"/>
    </row>
    <row r="155" spans="1:21">
      <c r="B155" s="590"/>
      <c r="C155" s="591"/>
      <c r="D155" s="549"/>
      <c r="E155" s="549"/>
      <c r="F155" s="599"/>
      <c r="G155" s="592"/>
      <c r="H155" s="594"/>
      <c r="I155" s="592"/>
      <c r="J155" s="595"/>
      <c r="K155" s="549"/>
      <c r="L155" s="552"/>
      <c r="M155" s="549"/>
      <c r="N155" s="544"/>
      <c r="O155" s="591"/>
      <c r="P155" s="552"/>
      <c r="Q155" s="592"/>
    </row>
    <row r="156" spans="1:21">
      <c r="B156" s="590"/>
      <c r="C156" s="549"/>
      <c r="D156" s="549"/>
      <c r="E156" s="549"/>
      <c r="F156" s="599"/>
      <c r="G156" s="591"/>
      <c r="H156" s="550"/>
      <c r="I156" s="591"/>
      <c r="J156" s="595"/>
      <c r="K156" s="549"/>
      <c r="L156" s="552"/>
      <c r="M156" s="549"/>
      <c r="N156" s="544"/>
      <c r="O156" s="549"/>
      <c r="P156" s="549"/>
      <c r="Q156" s="549"/>
    </row>
    <row r="157" spans="1:21">
      <c r="C157" s="553"/>
      <c r="F157" s="555"/>
      <c r="H157" s="555"/>
      <c r="I157" s="553"/>
      <c r="J157" s="555"/>
      <c r="N157" s="543"/>
      <c r="O157" s="553"/>
      <c r="P157" s="555"/>
      <c r="Q157" s="61"/>
    </row>
    <row r="158" spans="1:21">
      <c r="E158" s="563"/>
      <c r="F158" s="563"/>
      <c r="G158" s="35"/>
      <c r="H158" s="564"/>
      <c r="I158" s="564"/>
      <c r="J158" s="564"/>
      <c r="K158" s="101"/>
      <c r="L158" s="101"/>
      <c r="M158" s="600"/>
      <c r="N158" s="564"/>
      <c r="O158" s="564"/>
      <c r="P158" s="101"/>
      <c r="R158" s="564"/>
      <c r="S158" s="101"/>
      <c r="T158" s="565"/>
    </row>
    <row r="159" spans="1:21">
      <c r="H159" s="81"/>
      <c r="I159" s="81"/>
      <c r="J159" s="545"/>
      <c r="K159" s="545"/>
      <c r="L159" s="545"/>
      <c r="M159" s="545"/>
      <c r="N159" s="82"/>
      <c r="O159" s="64"/>
      <c r="P159" s="542"/>
      <c r="Q159" s="542"/>
      <c r="R159" s="624"/>
      <c r="S159" s="542"/>
      <c r="T159" s="589"/>
    </row>
    <row r="160" spans="1:21" s="61" customFormat="1">
      <c r="A160" s="586"/>
      <c r="B160" s="74"/>
      <c r="C160" s="74"/>
      <c r="D160" s="74"/>
      <c r="E160" s="74"/>
      <c r="F160" s="74"/>
      <c r="G160" s="74"/>
      <c r="H160" s="74"/>
      <c r="I160" s="74"/>
      <c r="J160" s="74"/>
      <c r="K160" s="74"/>
      <c r="L160" s="74"/>
      <c r="M160" s="74"/>
      <c r="N160" s="74"/>
      <c r="O160" s="74"/>
      <c r="P160" s="74"/>
      <c r="Q160" s="74"/>
      <c r="R160" s="18"/>
      <c r="S160" s="18"/>
      <c r="T160" s="18"/>
      <c r="U160" s="18"/>
    </row>
    <row r="161" spans="1:20" s="61" customFormat="1">
      <c r="A161" s="18"/>
      <c r="B161" s="625"/>
      <c r="C161" s="18"/>
      <c r="D161" s="18"/>
      <c r="E161" s="18"/>
      <c r="F161" s="18"/>
      <c r="G161" s="18"/>
      <c r="H161" s="18"/>
      <c r="I161" s="18"/>
      <c r="J161" s="18"/>
      <c r="K161" s="18"/>
      <c r="L161" s="18"/>
      <c r="M161" s="18"/>
      <c r="N161" s="18"/>
      <c r="O161" s="18"/>
      <c r="P161" s="18"/>
      <c r="Q161" s="18"/>
      <c r="R161" s="18"/>
      <c r="S161" s="18"/>
      <c r="T161" s="18"/>
    </row>
    <row r="162" spans="1:20" s="61" customFormat="1">
      <c r="A162" s="18"/>
      <c r="B162" s="626"/>
      <c r="C162" s="18"/>
      <c r="D162" s="18"/>
      <c r="E162" s="18"/>
      <c r="F162" s="18"/>
      <c r="G162" s="18"/>
      <c r="H162" s="35"/>
      <c r="I162" s="563"/>
      <c r="J162" s="563"/>
      <c r="K162" s="18"/>
      <c r="L162" s="18"/>
      <c r="M162" s="627"/>
      <c r="N162" s="627"/>
      <c r="O162" s="628"/>
      <c r="P162" s="545"/>
      <c r="Q162" s="18"/>
      <c r="R162" s="18"/>
      <c r="S162" s="565"/>
      <c r="T162" s="18"/>
    </row>
    <row r="163" spans="1:20" s="61" customFormat="1">
      <c r="A163" s="18"/>
      <c r="B163" s="626"/>
      <c r="C163" s="18"/>
      <c r="D163" s="18"/>
      <c r="E163" s="18"/>
      <c r="F163" s="18"/>
      <c r="G163" s="18"/>
      <c r="H163" s="35"/>
      <c r="I163" s="563"/>
      <c r="J163" s="563"/>
      <c r="K163" s="18"/>
      <c r="L163" s="18"/>
      <c r="M163" s="627"/>
      <c r="N163" s="627"/>
      <c r="O163" s="628"/>
      <c r="P163" s="545"/>
      <c r="Q163" s="18"/>
      <c r="R163" s="18"/>
      <c r="S163" s="565"/>
      <c r="T163" s="18"/>
    </row>
    <row r="164" spans="1:20">
      <c r="B164" s="626"/>
      <c r="H164" s="35"/>
      <c r="I164" s="563"/>
      <c r="J164" s="563"/>
      <c r="L164" s="545"/>
      <c r="M164" s="627"/>
      <c r="N164" s="627"/>
      <c r="O164" s="628"/>
      <c r="P164" s="545"/>
      <c r="S164" s="565"/>
    </row>
    <row r="165" spans="1:20">
      <c r="B165" s="553"/>
      <c r="H165" s="35"/>
      <c r="L165" s="545"/>
      <c r="M165" s="627"/>
      <c r="N165" s="627"/>
      <c r="O165" s="628"/>
      <c r="P165" s="545"/>
      <c r="S165" s="565"/>
    </row>
    <row r="166" spans="1:20">
      <c r="F166" s="554"/>
      <c r="H166" s="101"/>
      <c r="I166" s="101"/>
      <c r="J166" s="101"/>
      <c r="K166" s="564"/>
      <c r="L166" s="545"/>
      <c r="M166" s="563"/>
      <c r="N166" s="563"/>
      <c r="O166" s="82"/>
      <c r="P166" s="35"/>
      <c r="R166" s="564"/>
      <c r="S166" s="101"/>
      <c r="T166" s="565"/>
    </row>
    <row r="167" spans="1:20">
      <c r="B167" s="625"/>
      <c r="C167" s="61"/>
      <c r="D167" s="61"/>
      <c r="E167" s="61"/>
      <c r="F167" s="61"/>
      <c r="G167" s="61"/>
      <c r="H167" s="61"/>
      <c r="I167" s="61"/>
      <c r="J167" s="61"/>
      <c r="K167" s="61"/>
      <c r="L167" s="61"/>
      <c r="M167" s="61"/>
      <c r="N167" s="61"/>
      <c r="R167" s="557"/>
    </row>
    <row r="168" spans="1:20">
      <c r="B168" s="626"/>
      <c r="H168" s="35"/>
      <c r="I168" s="563"/>
      <c r="J168" s="563"/>
      <c r="M168" s="627"/>
      <c r="N168" s="627"/>
      <c r="O168" s="628"/>
      <c r="P168" s="545"/>
      <c r="S168" s="565"/>
    </row>
    <row r="169" spans="1:20">
      <c r="B169" s="553"/>
      <c r="H169" s="35"/>
      <c r="I169" s="563"/>
      <c r="J169" s="563"/>
      <c r="L169" s="545"/>
      <c r="M169" s="627"/>
      <c r="N169" s="627"/>
      <c r="O169" s="628"/>
      <c r="P169" s="557"/>
      <c r="R169" s="557"/>
    </row>
    <row r="170" spans="1:20">
      <c r="B170" s="553"/>
      <c r="H170" s="35"/>
      <c r="L170" s="545"/>
      <c r="M170" s="627"/>
      <c r="N170" s="627"/>
      <c r="O170" s="628"/>
      <c r="P170" s="545"/>
      <c r="R170" s="557"/>
    </row>
    <row r="171" spans="1:20">
      <c r="F171" s="554"/>
      <c r="I171" s="563"/>
      <c r="J171" s="101"/>
      <c r="K171" s="564"/>
      <c r="L171" s="545"/>
      <c r="M171" s="563"/>
      <c r="N171" s="563"/>
      <c r="O171" s="82"/>
      <c r="P171" s="35"/>
      <c r="R171" s="564"/>
      <c r="S171" s="101"/>
      <c r="T171" s="565"/>
    </row>
    <row r="172" spans="1:20">
      <c r="B172" s="625"/>
      <c r="C172" s="61"/>
      <c r="D172" s="61"/>
      <c r="E172" s="61"/>
      <c r="F172" s="61"/>
      <c r="G172" s="61"/>
      <c r="H172" s="61"/>
      <c r="I172" s="61"/>
      <c r="J172" s="61"/>
      <c r="K172" s="61"/>
      <c r="L172" s="61"/>
      <c r="M172" s="61"/>
      <c r="N172" s="61"/>
      <c r="R172" s="557"/>
    </row>
    <row r="173" spans="1:20">
      <c r="B173" s="626"/>
      <c r="H173" s="35"/>
      <c r="I173" s="563"/>
      <c r="J173" s="563"/>
      <c r="M173" s="627"/>
      <c r="N173" s="627"/>
      <c r="O173" s="628"/>
      <c r="P173" s="545"/>
      <c r="S173" s="565"/>
    </row>
    <row r="174" spans="1:20">
      <c r="B174" s="61"/>
      <c r="F174" s="554"/>
      <c r="I174" s="563"/>
      <c r="J174" s="557"/>
      <c r="K174" s="554"/>
      <c r="L174" s="545"/>
      <c r="M174" s="543"/>
      <c r="N174" s="543"/>
      <c r="O174" s="628"/>
      <c r="P174" s="545"/>
      <c r="R174" s="554"/>
      <c r="S174" s="557"/>
      <c r="T174" s="565"/>
    </row>
    <row r="175" spans="1:20">
      <c r="F175" s="554"/>
      <c r="I175" s="563"/>
      <c r="J175" s="557"/>
      <c r="K175" s="554"/>
      <c r="L175" s="545"/>
      <c r="M175" s="627"/>
      <c r="N175" s="627"/>
      <c r="O175" s="628"/>
      <c r="P175" s="545"/>
      <c r="R175" s="554"/>
      <c r="S175" s="557"/>
      <c r="T175" s="565"/>
    </row>
    <row r="176" spans="1:20">
      <c r="F176" s="554"/>
      <c r="I176" s="563"/>
      <c r="J176" s="101"/>
      <c r="K176" s="564"/>
      <c r="L176" s="545"/>
      <c r="M176" s="563"/>
      <c r="N176" s="563"/>
      <c r="O176" s="82"/>
      <c r="P176" s="35"/>
      <c r="R176" s="564"/>
      <c r="S176" s="101"/>
      <c r="T176" s="565"/>
    </row>
    <row r="177" spans="2:22">
      <c r="B177" s="61"/>
      <c r="F177" s="81"/>
      <c r="G177" s="62"/>
      <c r="H177" s="62"/>
      <c r="I177" s="62"/>
      <c r="J177" s="62"/>
      <c r="K177" s="582"/>
      <c r="L177" s="587"/>
      <c r="M177" s="587"/>
      <c r="N177" s="587"/>
      <c r="O177" s="587"/>
      <c r="P177" s="587"/>
      <c r="Q177" s="542"/>
      <c r="R177" s="542"/>
      <c r="S177" s="555"/>
    </row>
    <row r="178" spans="2:22">
      <c r="B178" s="61"/>
      <c r="F178" s="81"/>
      <c r="G178" s="62"/>
      <c r="H178" s="62"/>
      <c r="I178" s="62"/>
      <c r="J178" s="62"/>
      <c r="K178" s="582"/>
      <c r="L178" s="581"/>
      <c r="M178" s="629"/>
      <c r="N178" s="629"/>
      <c r="O178" s="626"/>
      <c r="Q178" s="542"/>
      <c r="R178" s="542"/>
      <c r="S178" s="555"/>
    </row>
    <row r="179" spans="2:22">
      <c r="B179" s="630"/>
      <c r="C179" s="101"/>
      <c r="D179" s="101"/>
      <c r="E179" s="101"/>
      <c r="F179" s="101"/>
      <c r="G179" s="101"/>
      <c r="H179" s="35"/>
      <c r="I179" s="585"/>
      <c r="J179" s="585"/>
      <c r="K179" s="544"/>
      <c r="L179" s="631"/>
      <c r="M179" s="631"/>
      <c r="N179" s="582"/>
      <c r="O179" s="553"/>
      <c r="P179" s="632"/>
    </row>
    <row r="180" spans="2:22">
      <c r="L180" s="630"/>
      <c r="M180" s="630"/>
      <c r="N180" s="630"/>
      <c r="O180" s="626"/>
      <c r="P180" s="632"/>
    </row>
    <row r="181" spans="2:22">
      <c r="G181" s="630"/>
      <c r="H181" s="81"/>
      <c r="I181" s="630"/>
      <c r="J181" s="632"/>
      <c r="K181" s="632"/>
      <c r="L181" s="61"/>
      <c r="Q181" s="542"/>
      <c r="R181" s="35"/>
      <c r="S181" s="62"/>
      <c r="T181" s="633"/>
    </row>
    <row r="182" spans="2:22">
      <c r="R182" s="557"/>
    </row>
    <row r="183" spans="2:22">
      <c r="C183" s="101"/>
      <c r="D183" s="101"/>
      <c r="F183" s="555"/>
      <c r="G183" s="553"/>
      <c r="H183" s="555"/>
      <c r="R183" s="557"/>
    </row>
    <row r="184" spans="2:22">
      <c r="F184" s="555"/>
      <c r="G184" s="553"/>
      <c r="H184" s="553"/>
      <c r="I184" s="563"/>
      <c r="J184" s="563"/>
      <c r="K184" s="553"/>
      <c r="L184" s="553"/>
      <c r="M184" s="553"/>
      <c r="R184" s="564"/>
      <c r="S184" s="101"/>
      <c r="T184" s="565"/>
    </row>
    <row r="185" spans="2:22">
      <c r="B185" s="61"/>
    </row>
    <row r="186" spans="2:22">
      <c r="C186" s="61"/>
    </row>
    <row r="187" spans="2:22">
      <c r="F187" s="544"/>
      <c r="H187" s="555"/>
      <c r="I187" s="553"/>
      <c r="J187" s="563"/>
      <c r="K187" s="563"/>
      <c r="L187" s="563"/>
      <c r="M187" s="563"/>
    </row>
    <row r="188" spans="2:22">
      <c r="B188" s="557"/>
      <c r="C188" s="101"/>
      <c r="D188" s="101"/>
      <c r="H188" s="555"/>
      <c r="I188" s="553"/>
      <c r="K188" s="553"/>
      <c r="L188" s="563"/>
      <c r="M188" s="563"/>
    </row>
    <row r="189" spans="2:22">
      <c r="B189" s="557"/>
      <c r="C189" s="101"/>
      <c r="D189" s="101"/>
      <c r="H189" s="555"/>
      <c r="I189" s="553"/>
      <c r="K189" s="553"/>
      <c r="L189" s="563"/>
      <c r="M189" s="563"/>
    </row>
    <row r="190" spans="2:22">
      <c r="J190" s="544"/>
      <c r="K190" s="553"/>
      <c r="L190" s="563"/>
      <c r="M190" s="563"/>
    </row>
    <row r="191" spans="2:22">
      <c r="F191" s="563"/>
      <c r="G191" s="101"/>
      <c r="I191" s="556"/>
      <c r="J191" s="555"/>
      <c r="L191" s="563"/>
      <c r="M191" s="101"/>
      <c r="R191" s="564"/>
      <c r="S191" s="101"/>
      <c r="T191" s="565"/>
    </row>
    <row r="192" spans="2:22">
      <c r="L192" s="545"/>
      <c r="M192" s="545"/>
      <c r="N192" s="545"/>
      <c r="O192" s="82"/>
      <c r="P192" s="562"/>
      <c r="Q192" s="562"/>
      <c r="R192" s="588"/>
      <c r="S192" s="562"/>
      <c r="T192" s="634"/>
      <c r="V192" s="635"/>
    </row>
    <row r="193" spans="2:22">
      <c r="L193" s="545"/>
      <c r="M193" s="545"/>
      <c r="N193" s="545"/>
      <c r="O193" s="82"/>
      <c r="P193" s="562"/>
      <c r="Q193" s="562"/>
      <c r="R193" s="588"/>
      <c r="S193" s="562"/>
      <c r="T193" s="634"/>
      <c r="V193" s="636"/>
    </row>
    <row r="194" spans="2:22">
      <c r="L194" s="545"/>
      <c r="M194" s="545"/>
      <c r="N194" s="545"/>
      <c r="O194" s="82"/>
      <c r="P194" s="562"/>
      <c r="Q194" s="562"/>
      <c r="R194" s="588"/>
      <c r="S194" s="562"/>
      <c r="T194" s="634"/>
    </row>
    <row r="195" spans="2:22" ht="15">
      <c r="B195" s="637"/>
      <c r="L195" s="545"/>
      <c r="M195" s="545"/>
      <c r="N195" s="545"/>
      <c r="O195" s="82"/>
      <c r="P195" s="542"/>
      <c r="Q195" s="542"/>
      <c r="R195" s="624"/>
      <c r="S195" s="542"/>
      <c r="T195" s="634"/>
    </row>
    <row r="196" spans="2:22">
      <c r="L196" s="545"/>
      <c r="M196" s="545"/>
      <c r="N196" s="545"/>
      <c r="O196" s="82"/>
      <c r="T196" s="634"/>
    </row>
    <row r="197" spans="2:22">
      <c r="L197" s="545"/>
      <c r="M197" s="545"/>
      <c r="N197" s="545"/>
      <c r="O197" s="82"/>
      <c r="P197" s="64"/>
      <c r="R197" s="557"/>
      <c r="T197" s="565"/>
    </row>
    <row r="198" spans="2:22">
      <c r="B198" s="562"/>
      <c r="C198" s="562"/>
      <c r="D198" s="562"/>
      <c r="E198" s="562"/>
      <c r="F198" s="562"/>
      <c r="G198" s="562"/>
      <c r="H198" s="562"/>
      <c r="I198" s="562"/>
      <c r="J198" s="562"/>
      <c r="K198" s="562"/>
      <c r="L198" s="562"/>
      <c r="M198" s="562"/>
      <c r="N198" s="562"/>
      <c r="O198" s="562"/>
      <c r="P198" s="562"/>
      <c r="Q198" s="562"/>
      <c r="R198" s="562"/>
      <c r="T198" s="565"/>
    </row>
    <row r="199" spans="2:22">
      <c r="L199" s="545"/>
      <c r="M199" s="545"/>
      <c r="N199" s="545"/>
      <c r="O199" s="82"/>
      <c r="P199" s="64"/>
      <c r="R199" s="557"/>
      <c r="T199" s="565"/>
    </row>
    <row r="200" spans="2:22">
      <c r="L200" s="545"/>
      <c r="M200" s="545"/>
      <c r="N200" s="545"/>
      <c r="O200" s="82"/>
      <c r="P200" s="64"/>
      <c r="R200" s="557"/>
      <c r="T200" s="565"/>
    </row>
    <row r="201" spans="2:22">
      <c r="L201" s="545"/>
      <c r="M201" s="545"/>
      <c r="N201" s="545"/>
      <c r="O201" s="82"/>
      <c r="P201" s="64"/>
      <c r="R201" s="557"/>
      <c r="T201" s="565"/>
    </row>
    <row r="202" spans="2:22">
      <c r="L202" s="545"/>
      <c r="M202" s="545"/>
      <c r="N202" s="545"/>
      <c r="O202" s="82"/>
      <c r="P202" s="64"/>
      <c r="R202" s="557"/>
      <c r="T202" s="565"/>
    </row>
    <row r="203" spans="2:22">
      <c r="L203" s="545"/>
      <c r="M203" s="545"/>
      <c r="N203" s="545"/>
      <c r="O203" s="82"/>
      <c r="P203" s="64"/>
      <c r="R203" s="557"/>
      <c r="T203" s="565"/>
    </row>
    <row r="204" spans="2:22">
      <c r="L204" s="545"/>
      <c r="M204" s="545"/>
      <c r="N204" s="545"/>
      <c r="O204" s="82"/>
      <c r="P204" s="64"/>
      <c r="R204" s="557"/>
      <c r="T204" s="565"/>
    </row>
    <row r="205" spans="2:22">
      <c r="L205" s="545"/>
      <c r="M205" s="545"/>
      <c r="N205" s="545"/>
      <c r="O205" s="82"/>
      <c r="P205" s="64"/>
      <c r="R205" s="557"/>
      <c r="T205" s="565"/>
    </row>
    <row r="206" spans="2:22">
      <c r="L206" s="545"/>
      <c r="M206" s="545"/>
      <c r="N206" s="545"/>
      <c r="O206" s="82"/>
      <c r="P206" s="64"/>
      <c r="R206" s="557"/>
      <c r="T206" s="565"/>
    </row>
    <row r="207" spans="2:22">
      <c r="L207" s="545"/>
      <c r="M207" s="545"/>
      <c r="N207" s="545"/>
      <c r="O207" s="82"/>
      <c r="P207" s="64"/>
      <c r="R207" s="557"/>
      <c r="T207" s="565"/>
    </row>
    <row r="208" spans="2:22">
      <c r="L208" s="545"/>
      <c r="M208" s="545"/>
      <c r="N208" s="545"/>
      <c r="O208" s="82"/>
      <c r="P208" s="64"/>
      <c r="R208" s="557"/>
      <c r="T208" s="565"/>
    </row>
    <row r="209" spans="12:20">
      <c r="L209" s="545"/>
      <c r="M209" s="545"/>
      <c r="N209" s="545"/>
      <c r="O209" s="82"/>
      <c r="P209" s="64"/>
      <c r="R209" s="557"/>
      <c r="T209" s="565"/>
    </row>
    <row r="210" spans="12:20">
      <c r="L210" s="545"/>
      <c r="M210" s="545"/>
      <c r="N210" s="545"/>
      <c r="O210" s="82"/>
      <c r="P210" s="64"/>
      <c r="R210" s="557"/>
      <c r="T210" s="565"/>
    </row>
    <row r="211" spans="12:20">
      <c r="L211" s="545"/>
      <c r="M211" s="545"/>
      <c r="N211" s="545"/>
      <c r="O211" s="82"/>
      <c r="P211" s="64"/>
      <c r="R211" s="557"/>
      <c r="T211" s="565"/>
    </row>
    <row r="212" spans="12:20">
      <c r="L212" s="545"/>
      <c r="M212" s="545"/>
      <c r="N212" s="545"/>
      <c r="O212" s="82"/>
      <c r="P212" s="64"/>
      <c r="R212" s="557"/>
      <c r="T212" s="565"/>
    </row>
    <row r="213" spans="12:20">
      <c r="L213" s="545"/>
      <c r="M213" s="545"/>
      <c r="N213" s="545"/>
      <c r="O213" s="82"/>
      <c r="P213" s="64"/>
      <c r="R213" s="557"/>
      <c r="T213" s="565"/>
    </row>
    <row r="214" spans="12:20">
      <c r="L214" s="545"/>
      <c r="M214" s="545"/>
      <c r="N214" s="545"/>
      <c r="O214" s="82"/>
      <c r="P214" s="64"/>
      <c r="R214" s="557"/>
      <c r="T214" s="565"/>
    </row>
    <row r="215" spans="12:20">
      <c r="L215" s="545"/>
      <c r="M215" s="545"/>
      <c r="N215" s="545"/>
      <c r="O215" s="82"/>
      <c r="P215" s="64"/>
      <c r="R215" s="557"/>
      <c r="T215" s="565"/>
    </row>
    <row r="216" spans="12:20">
      <c r="L216" s="545"/>
      <c r="M216" s="545"/>
      <c r="N216" s="545"/>
      <c r="O216" s="82"/>
      <c r="P216" s="64"/>
      <c r="R216" s="557"/>
      <c r="T216" s="565"/>
    </row>
    <row r="217" spans="12:20">
      <c r="L217" s="545"/>
      <c r="M217" s="545"/>
      <c r="N217" s="545"/>
      <c r="O217" s="82"/>
      <c r="P217" s="64"/>
      <c r="R217" s="557"/>
      <c r="T217" s="565"/>
    </row>
    <row r="218" spans="12:20">
      <c r="L218" s="545"/>
      <c r="M218" s="545"/>
      <c r="N218" s="545"/>
      <c r="O218" s="82"/>
      <c r="P218" s="64"/>
      <c r="R218" s="557"/>
      <c r="T218" s="565"/>
    </row>
    <row r="219" spans="12:20">
      <c r="L219" s="545"/>
      <c r="M219" s="545"/>
      <c r="N219" s="545"/>
      <c r="O219" s="82"/>
      <c r="P219" s="64"/>
      <c r="R219" s="557"/>
      <c r="T219" s="565"/>
    </row>
    <row r="220" spans="12:20">
      <c r="L220" s="545"/>
      <c r="M220" s="545"/>
      <c r="N220" s="545"/>
      <c r="O220" s="82"/>
      <c r="P220" s="64"/>
      <c r="R220" s="557"/>
      <c r="T220" s="565"/>
    </row>
    <row r="221" spans="12:20">
      <c r="L221" s="545"/>
      <c r="M221" s="545"/>
      <c r="N221" s="545"/>
      <c r="O221" s="82"/>
      <c r="P221" s="64"/>
      <c r="R221" s="557"/>
      <c r="T221" s="565"/>
    </row>
    <row r="222" spans="12:20">
      <c r="L222" s="545"/>
      <c r="M222" s="545"/>
      <c r="N222" s="545"/>
      <c r="O222" s="82"/>
      <c r="P222" s="64"/>
      <c r="R222" s="557"/>
      <c r="T222" s="565"/>
    </row>
    <row r="223" spans="12:20">
      <c r="L223" s="545"/>
      <c r="M223" s="545"/>
      <c r="N223" s="545"/>
      <c r="O223" s="82"/>
      <c r="P223" s="64"/>
      <c r="R223" s="557"/>
      <c r="T223" s="565"/>
    </row>
    <row r="224" spans="12:20">
      <c r="L224" s="545"/>
      <c r="M224" s="545"/>
      <c r="N224" s="545"/>
      <c r="O224" s="82"/>
      <c r="P224" s="64"/>
      <c r="R224" s="557"/>
      <c r="T224" s="565"/>
    </row>
    <row r="225" spans="3:20">
      <c r="L225" s="545"/>
      <c r="M225" s="545"/>
      <c r="N225" s="545"/>
      <c r="O225" s="82"/>
      <c r="P225" s="64"/>
      <c r="R225" s="557"/>
      <c r="T225" s="565"/>
    </row>
    <row r="226" spans="3:20">
      <c r="L226" s="545"/>
      <c r="M226" s="545"/>
      <c r="N226" s="545"/>
      <c r="O226" s="82"/>
      <c r="P226" s="64"/>
      <c r="R226" s="557"/>
      <c r="T226" s="565"/>
    </row>
    <row r="227" spans="3:20">
      <c r="L227" s="545"/>
      <c r="M227" s="545"/>
      <c r="N227" s="545"/>
      <c r="O227" s="82"/>
      <c r="P227" s="64"/>
      <c r="R227" s="557"/>
      <c r="T227" s="565"/>
    </row>
    <row r="228" spans="3:20">
      <c r="L228" s="545"/>
      <c r="M228" s="545"/>
      <c r="N228" s="545"/>
      <c r="O228" s="82"/>
      <c r="P228" s="64"/>
      <c r="R228" s="557"/>
      <c r="T228" s="565"/>
    </row>
    <row r="229" spans="3:20">
      <c r="L229" s="545"/>
      <c r="M229" s="545"/>
      <c r="N229" s="545"/>
      <c r="O229" s="82"/>
      <c r="P229" s="64"/>
      <c r="R229" s="557"/>
      <c r="T229" s="565"/>
    </row>
    <row r="230" spans="3:20">
      <c r="L230" s="545"/>
      <c r="M230" s="545"/>
      <c r="N230" s="545"/>
      <c r="O230" s="82"/>
      <c r="P230" s="64"/>
      <c r="R230" s="557"/>
      <c r="T230" s="565"/>
    </row>
    <row r="231" spans="3:20">
      <c r="L231" s="545"/>
      <c r="M231" s="545"/>
      <c r="N231" s="545"/>
      <c r="O231" s="82"/>
      <c r="P231" s="64"/>
      <c r="R231" s="557"/>
      <c r="T231" s="565"/>
    </row>
    <row r="232" spans="3:20">
      <c r="L232" s="545"/>
      <c r="M232" s="545"/>
      <c r="N232" s="545"/>
      <c r="O232" s="82"/>
      <c r="P232" s="64"/>
      <c r="R232" s="557"/>
      <c r="T232" s="565"/>
    </row>
    <row r="233" spans="3:20">
      <c r="L233" s="545"/>
      <c r="M233" s="545"/>
      <c r="N233" s="545"/>
      <c r="O233" s="82"/>
      <c r="P233" s="64"/>
      <c r="R233" s="557"/>
      <c r="T233" s="565"/>
    </row>
    <row r="234" spans="3:20">
      <c r="L234" s="545"/>
      <c r="M234" s="545"/>
      <c r="N234" s="545"/>
      <c r="O234" s="82"/>
      <c r="P234" s="64"/>
      <c r="R234" s="557"/>
      <c r="T234" s="565"/>
    </row>
    <row r="235" spans="3:20">
      <c r="L235" s="545"/>
      <c r="M235" s="545"/>
      <c r="N235" s="545"/>
      <c r="O235" s="82"/>
      <c r="P235" s="64"/>
      <c r="R235" s="557"/>
      <c r="T235" s="565"/>
    </row>
    <row r="236" spans="3:20">
      <c r="C236" s="553"/>
      <c r="J236" s="554"/>
      <c r="K236" s="545"/>
      <c r="L236" s="545"/>
      <c r="M236" s="545"/>
      <c r="N236" s="545"/>
      <c r="O236" s="82"/>
      <c r="P236" s="64"/>
      <c r="R236" s="557"/>
      <c r="T236" s="565"/>
    </row>
    <row r="237" spans="3:20">
      <c r="R237" s="557"/>
    </row>
    <row r="238" spans="3:20">
      <c r="R238" s="557"/>
    </row>
    <row r="239" spans="3:20">
      <c r="F239" s="555"/>
      <c r="G239" s="553"/>
      <c r="H239" s="555"/>
      <c r="R239" s="557"/>
    </row>
    <row r="240" spans="3:20">
      <c r="F240" s="555"/>
      <c r="G240" s="553"/>
      <c r="H240" s="553"/>
      <c r="I240" s="563"/>
      <c r="J240" s="563"/>
      <c r="K240" s="553"/>
      <c r="L240" s="553"/>
      <c r="M240" s="553"/>
      <c r="R240" s="564"/>
      <c r="S240" s="101"/>
      <c r="T240" s="565"/>
    </row>
    <row r="241" spans="2:20">
      <c r="F241" s="555"/>
      <c r="G241" s="553"/>
      <c r="H241" s="555"/>
    </row>
    <row r="242" spans="2:20">
      <c r="F242" s="555"/>
      <c r="G242" s="553"/>
      <c r="H242" s="553"/>
      <c r="I242" s="563"/>
      <c r="J242" s="563"/>
      <c r="K242" s="553"/>
      <c r="L242" s="553"/>
      <c r="M242" s="553"/>
      <c r="P242" s="562"/>
      <c r="Q242" s="562"/>
      <c r="R242" s="588"/>
      <c r="S242" s="562"/>
      <c r="T242" s="634"/>
    </row>
    <row r="243" spans="2:20">
      <c r="H243" s="553"/>
      <c r="I243" s="545"/>
      <c r="J243" s="545"/>
      <c r="K243" s="553"/>
      <c r="L243" s="553"/>
      <c r="M243" s="553"/>
    </row>
    <row r="244" spans="2:20">
      <c r="H244" s="553"/>
      <c r="I244" s="545"/>
      <c r="J244" s="545"/>
      <c r="K244" s="553"/>
      <c r="L244" s="553"/>
      <c r="M244" s="553"/>
    </row>
    <row r="245" spans="2:20">
      <c r="H245" s="553"/>
      <c r="I245" s="545"/>
      <c r="J245" s="545"/>
      <c r="K245" s="553"/>
      <c r="L245" s="553"/>
      <c r="M245" s="553"/>
    </row>
    <row r="246" spans="2:20">
      <c r="H246" s="553"/>
      <c r="I246" s="545"/>
      <c r="J246" s="545"/>
      <c r="K246" s="553"/>
      <c r="L246" s="553"/>
      <c r="M246" s="553"/>
      <c r="P246" s="555"/>
      <c r="R246" s="554"/>
      <c r="S246" s="557"/>
    </row>
    <row r="247" spans="2:20">
      <c r="H247" s="553"/>
      <c r="I247" s="545"/>
      <c r="J247" s="545"/>
      <c r="K247" s="553"/>
      <c r="L247" s="553"/>
      <c r="M247" s="553"/>
      <c r="P247" s="562"/>
      <c r="Q247" s="562"/>
      <c r="R247" s="588"/>
      <c r="S247" s="562"/>
      <c r="T247" s="589"/>
    </row>
    <row r="250" spans="2:20">
      <c r="C250" s="61"/>
    </row>
    <row r="251" spans="2:20">
      <c r="F251" s="544"/>
      <c r="H251" s="555"/>
      <c r="I251" s="553"/>
      <c r="J251" s="563"/>
      <c r="K251" s="563"/>
      <c r="L251" s="563"/>
      <c r="M251" s="563"/>
    </row>
    <row r="252" spans="2:20">
      <c r="H252" s="555"/>
      <c r="I252" s="553"/>
      <c r="J252" s="563"/>
      <c r="K252" s="563"/>
      <c r="L252" s="563"/>
      <c r="M252" s="563"/>
    </row>
    <row r="253" spans="2:20">
      <c r="B253" s="557"/>
      <c r="C253" s="101"/>
      <c r="D253" s="101"/>
      <c r="H253" s="555"/>
      <c r="I253" s="553"/>
      <c r="K253" s="553"/>
      <c r="L253" s="563"/>
      <c r="M253" s="563"/>
    </row>
    <row r="254" spans="2:20">
      <c r="B254" s="557"/>
      <c r="C254" s="101"/>
      <c r="D254" s="101"/>
      <c r="H254" s="555"/>
      <c r="I254" s="553"/>
      <c r="K254" s="553"/>
      <c r="L254" s="563"/>
      <c r="M254" s="563"/>
    </row>
    <row r="255" spans="2:20">
      <c r="B255" s="557"/>
      <c r="C255" s="101"/>
      <c r="D255" s="101"/>
      <c r="H255" s="555"/>
      <c r="I255" s="553"/>
      <c r="K255" s="553"/>
      <c r="L255" s="563"/>
      <c r="M255" s="563"/>
    </row>
    <row r="256" spans="2:20">
      <c r="J256" s="544"/>
      <c r="K256" s="553"/>
      <c r="L256" s="563"/>
      <c r="M256" s="563"/>
    </row>
    <row r="257" spans="2:20">
      <c r="N257" s="101"/>
      <c r="O257" s="101"/>
    </row>
    <row r="258" spans="2:20">
      <c r="F258" s="563"/>
      <c r="G258" s="101"/>
      <c r="I258" s="556"/>
      <c r="J258" s="555"/>
      <c r="L258" s="563"/>
      <c r="M258" s="101"/>
      <c r="R258" s="564"/>
      <c r="S258" s="101"/>
      <c r="T258" s="565"/>
    </row>
    <row r="259" spans="2:20">
      <c r="O259" s="625"/>
      <c r="P259" s="542"/>
      <c r="Q259" s="35"/>
      <c r="R259" s="564"/>
      <c r="S259" s="101"/>
      <c r="T259" s="589"/>
    </row>
    <row r="261" spans="2:20">
      <c r="B261" s="638"/>
      <c r="C261" s="638"/>
      <c r="D261" s="638"/>
      <c r="E261" s="638"/>
      <c r="F261" s="638"/>
      <c r="G261" s="638"/>
      <c r="H261" s="639"/>
      <c r="I261" s="639"/>
      <c r="J261" s="640"/>
      <c r="K261" s="640"/>
      <c r="L261" s="640"/>
      <c r="M261" s="639"/>
      <c r="N261" s="639"/>
      <c r="O261" s="641"/>
      <c r="P261" s="641"/>
    </row>
    <row r="262" spans="2:20">
      <c r="B262" s="638"/>
      <c r="C262" s="638"/>
      <c r="D262" s="638"/>
      <c r="E262" s="638"/>
      <c r="F262" s="638"/>
      <c r="G262" s="638"/>
      <c r="H262" s="639"/>
      <c r="I262" s="639"/>
      <c r="J262" s="642"/>
      <c r="K262" s="642"/>
      <c r="L262" s="642"/>
      <c r="M262" s="639"/>
      <c r="N262" s="639"/>
      <c r="O262" s="641"/>
      <c r="P262" s="641"/>
    </row>
    <row r="263" spans="2:20">
      <c r="B263" s="643"/>
      <c r="C263" s="643"/>
      <c r="D263" s="643"/>
      <c r="E263" s="643"/>
      <c r="F263" s="643"/>
      <c r="G263" s="643"/>
      <c r="H263" s="644"/>
      <c r="I263" s="644"/>
      <c r="J263" s="645"/>
      <c r="K263" s="645"/>
      <c r="L263" s="645"/>
      <c r="M263" s="644"/>
      <c r="N263" s="644"/>
      <c r="O263" s="646"/>
      <c r="P263" s="646"/>
    </row>
    <row r="264" spans="2:20">
      <c r="B264" s="643"/>
      <c r="C264" s="643"/>
      <c r="D264" s="643"/>
      <c r="E264" s="643"/>
      <c r="F264" s="643"/>
      <c r="G264" s="643"/>
      <c r="H264" s="644"/>
      <c r="I264" s="644"/>
      <c r="J264" s="645"/>
      <c r="K264" s="645"/>
      <c r="L264" s="645"/>
      <c r="M264" s="644"/>
      <c r="N264" s="644"/>
      <c r="O264" s="646"/>
      <c r="P264" s="646"/>
    </row>
    <row r="265" spans="2:20">
      <c r="B265" s="643"/>
      <c r="C265" s="643"/>
      <c r="D265" s="643"/>
      <c r="E265" s="643"/>
      <c r="F265" s="643"/>
      <c r="G265" s="643"/>
      <c r="H265" s="644"/>
      <c r="I265" s="644"/>
      <c r="J265" s="645"/>
      <c r="K265" s="645"/>
      <c r="L265" s="645"/>
      <c r="M265" s="644"/>
      <c r="N265" s="644"/>
      <c r="O265" s="646"/>
      <c r="P265" s="646"/>
    </row>
    <row r="266" spans="2:20">
      <c r="B266" s="643"/>
      <c r="C266" s="643"/>
      <c r="D266" s="643"/>
      <c r="E266" s="643"/>
      <c r="F266" s="643"/>
      <c r="G266" s="643"/>
      <c r="H266" s="644"/>
      <c r="I266" s="644"/>
      <c r="J266" s="645"/>
      <c r="K266" s="645"/>
      <c r="L266" s="645"/>
      <c r="M266" s="644"/>
      <c r="N266" s="644"/>
      <c r="O266" s="646"/>
      <c r="P266" s="646"/>
    </row>
    <row r="267" spans="2:20">
      <c r="B267" s="643"/>
      <c r="C267" s="643"/>
      <c r="D267" s="643"/>
      <c r="E267" s="643"/>
      <c r="F267" s="643"/>
      <c r="G267" s="643"/>
      <c r="H267" s="644"/>
      <c r="I267" s="644"/>
      <c r="J267" s="645"/>
      <c r="K267" s="645"/>
      <c r="L267" s="645"/>
      <c r="M267" s="644"/>
      <c r="N267" s="644"/>
      <c r="O267" s="646"/>
      <c r="P267" s="646"/>
    </row>
    <row r="268" spans="2:20">
      <c r="B268" s="643"/>
      <c r="C268" s="643"/>
      <c r="D268" s="643"/>
      <c r="E268" s="643"/>
      <c r="F268" s="643"/>
      <c r="G268" s="643"/>
      <c r="H268" s="644"/>
      <c r="I268" s="644"/>
      <c r="J268" s="645"/>
      <c r="K268" s="645"/>
      <c r="L268" s="645"/>
      <c r="M268" s="644"/>
      <c r="N268" s="644"/>
      <c r="O268" s="646"/>
      <c r="P268" s="646"/>
    </row>
    <row r="269" spans="2:20">
      <c r="B269" s="643"/>
      <c r="C269" s="643"/>
      <c r="D269" s="643"/>
      <c r="E269" s="643"/>
      <c r="F269" s="643"/>
      <c r="G269" s="643"/>
      <c r="H269" s="644"/>
      <c r="I269" s="644"/>
      <c r="J269" s="645"/>
      <c r="K269" s="645"/>
      <c r="L269" s="645"/>
      <c r="M269" s="644"/>
      <c r="N269" s="644"/>
      <c r="O269" s="646"/>
      <c r="P269" s="646"/>
    </row>
    <row r="270" spans="2:20">
      <c r="B270" s="643"/>
      <c r="C270" s="643"/>
      <c r="D270" s="643"/>
      <c r="E270" s="643"/>
      <c r="F270" s="643"/>
      <c r="G270" s="643"/>
      <c r="H270" s="644"/>
      <c r="I270" s="644"/>
      <c r="J270" s="645"/>
      <c r="K270" s="645"/>
      <c r="L270" s="645"/>
      <c r="M270" s="644"/>
      <c r="N270" s="644"/>
      <c r="O270" s="646"/>
      <c r="P270" s="646"/>
    </row>
    <row r="271" spans="2:20">
      <c r="B271" s="643"/>
      <c r="C271" s="643"/>
      <c r="D271" s="643"/>
      <c r="E271" s="643"/>
      <c r="F271" s="643"/>
      <c r="G271" s="643"/>
      <c r="H271" s="644"/>
      <c r="I271" s="644"/>
      <c r="J271" s="645"/>
      <c r="K271" s="645"/>
      <c r="L271" s="645"/>
      <c r="M271" s="644"/>
      <c r="N271" s="644"/>
      <c r="O271" s="646"/>
      <c r="P271" s="646"/>
    </row>
    <row r="272" spans="2:20">
      <c r="B272" s="643"/>
      <c r="C272" s="643"/>
      <c r="D272" s="643"/>
      <c r="E272" s="643"/>
      <c r="F272" s="643"/>
      <c r="G272" s="643"/>
      <c r="H272" s="644"/>
      <c r="I272" s="644"/>
      <c r="J272" s="645"/>
      <c r="K272" s="645"/>
      <c r="L272" s="645"/>
      <c r="M272" s="644"/>
      <c r="N272" s="644"/>
      <c r="O272" s="646"/>
      <c r="P272" s="646"/>
    </row>
    <row r="273" spans="2:20">
      <c r="B273" s="643"/>
      <c r="C273" s="643"/>
      <c r="D273" s="643"/>
      <c r="E273" s="643"/>
      <c r="F273" s="643"/>
      <c r="G273" s="643"/>
      <c r="H273" s="644"/>
      <c r="I273" s="644"/>
      <c r="J273" s="645"/>
      <c r="K273" s="645"/>
      <c r="L273" s="645"/>
      <c r="M273" s="644"/>
      <c r="N273" s="644"/>
      <c r="O273" s="646"/>
      <c r="P273" s="646"/>
    </row>
    <row r="274" spans="2:20">
      <c r="B274" s="643"/>
      <c r="C274" s="592"/>
      <c r="D274" s="592"/>
      <c r="E274" s="592"/>
      <c r="F274" s="592"/>
      <c r="G274" s="592"/>
      <c r="H274" s="592"/>
      <c r="I274" s="592"/>
      <c r="J274" s="592"/>
      <c r="K274" s="592"/>
      <c r="L274" s="592"/>
      <c r="M274" s="644"/>
      <c r="N274" s="592"/>
      <c r="O274" s="592"/>
      <c r="P274" s="592"/>
      <c r="Q274" s="592"/>
      <c r="R274" s="592"/>
      <c r="S274" s="592"/>
      <c r="T274" s="592"/>
    </row>
    <row r="275" spans="2:20">
      <c r="B275" s="643"/>
      <c r="C275" s="592"/>
      <c r="D275" s="592"/>
      <c r="E275" s="592"/>
      <c r="F275" s="592"/>
      <c r="G275" s="592"/>
      <c r="H275" s="592"/>
      <c r="I275" s="592"/>
      <c r="J275" s="592"/>
      <c r="K275" s="592"/>
      <c r="L275" s="592"/>
      <c r="M275" s="644"/>
      <c r="N275" s="592"/>
      <c r="O275" s="592"/>
      <c r="P275" s="592"/>
      <c r="Q275" s="592"/>
      <c r="R275" s="592"/>
      <c r="S275" s="592"/>
      <c r="T275" s="592"/>
    </row>
    <row r="276" spans="2:20">
      <c r="B276" s="643"/>
      <c r="C276" s="643"/>
      <c r="D276" s="643"/>
      <c r="E276" s="643"/>
      <c r="F276" s="643"/>
      <c r="G276" s="643"/>
      <c r="H276" s="644"/>
      <c r="I276" s="644"/>
      <c r="J276" s="645"/>
      <c r="K276" s="645"/>
      <c r="L276" s="645"/>
      <c r="M276" s="644"/>
      <c r="N276" s="644"/>
      <c r="O276" s="646"/>
      <c r="P276" s="646"/>
    </row>
    <row r="277" spans="2:20">
      <c r="B277" s="643"/>
      <c r="C277" s="643"/>
      <c r="D277" s="643"/>
      <c r="E277" s="643"/>
      <c r="F277" s="643"/>
      <c r="G277" s="643"/>
      <c r="H277" s="644"/>
      <c r="I277" s="644"/>
      <c r="J277" s="645"/>
      <c r="K277" s="645"/>
      <c r="L277" s="645"/>
      <c r="M277" s="644"/>
      <c r="N277" s="644"/>
      <c r="O277" s="646"/>
      <c r="P277" s="646"/>
    </row>
    <row r="278" spans="2:20">
      <c r="B278" s="643"/>
      <c r="C278" s="643"/>
      <c r="D278" s="643"/>
      <c r="E278" s="643"/>
      <c r="F278" s="643"/>
      <c r="G278" s="643"/>
      <c r="H278" s="644"/>
      <c r="I278" s="644"/>
      <c r="J278" s="645"/>
      <c r="K278" s="645"/>
      <c r="L278" s="645"/>
      <c r="M278" s="644"/>
      <c r="N278" s="644"/>
      <c r="O278" s="646"/>
      <c r="P278" s="646"/>
    </row>
    <row r="279" spans="2:20">
      <c r="B279" s="643"/>
      <c r="C279" s="643"/>
      <c r="D279" s="643"/>
      <c r="E279" s="643"/>
      <c r="F279" s="643"/>
      <c r="G279" s="643"/>
      <c r="H279" s="644"/>
      <c r="I279" s="644"/>
      <c r="J279" s="645"/>
      <c r="K279" s="645"/>
      <c r="L279" s="645"/>
      <c r="M279" s="644"/>
      <c r="N279" s="644"/>
      <c r="O279" s="646"/>
      <c r="P279" s="646"/>
    </row>
    <row r="280" spans="2:20">
      <c r="B280" s="643"/>
      <c r="C280" s="643"/>
      <c r="D280" s="643"/>
      <c r="E280" s="643"/>
      <c r="F280" s="643"/>
      <c r="G280" s="643"/>
      <c r="H280" s="644"/>
      <c r="I280" s="644"/>
      <c r="J280" s="645"/>
      <c r="K280" s="645"/>
      <c r="L280" s="645"/>
      <c r="M280" s="644"/>
      <c r="N280" s="644"/>
      <c r="O280" s="646"/>
      <c r="P280" s="646"/>
    </row>
    <row r="281" spans="2:20">
      <c r="B281" s="643"/>
      <c r="C281" s="643"/>
      <c r="D281" s="643"/>
      <c r="E281" s="643"/>
      <c r="F281" s="643"/>
      <c r="G281" s="643"/>
      <c r="H281" s="644"/>
      <c r="I281" s="644"/>
      <c r="J281" s="645"/>
      <c r="K281" s="645"/>
      <c r="L281" s="645"/>
      <c r="M281" s="644"/>
      <c r="N281" s="644"/>
      <c r="O281" s="646"/>
      <c r="P281" s="646"/>
    </row>
    <row r="282" spans="2:20">
      <c r="B282" s="643"/>
      <c r="C282" s="643"/>
      <c r="D282" s="643"/>
      <c r="E282" s="643"/>
      <c r="F282" s="643"/>
      <c r="G282" s="643"/>
      <c r="H282" s="644"/>
      <c r="I282" s="644"/>
      <c r="J282" s="645"/>
      <c r="K282" s="645"/>
      <c r="L282" s="645"/>
      <c r="M282" s="644"/>
      <c r="N282" s="644"/>
      <c r="O282" s="646"/>
      <c r="P282" s="646"/>
    </row>
    <row r="283" spans="2:20">
      <c r="B283" s="643"/>
      <c r="C283" s="643"/>
      <c r="D283" s="643"/>
      <c r="E283" s="643"/>
      <c r="F283" s="643"/>
      <c r="G283" s="643"/>
      <c r="H283" s="644"/>
      <c r="I283" s="644"/>
      <c r="J283" s="645"/>
      <c r="K283" s="645"/>
      <c r="L283" s="645"/>
      <c r="M283" s="644"/>
      <c r="N283" s="644"/>
      <c r="O283" s="646"/>
      <c r="P283" s="646"/>
    </row>
    <row r="284" spans="2:20">
      <c r="B284" s="643"/>
      <c r="C284" s="643"/>
      <c r="D284" s="643"/>
      <c r="E284" s="643"/>
      <c r="F284" s="643"/>
      <c r="G284" s="643"/>
      <c r="H284" s="644"/>
      <c r="I284" s="644"/>
      <c r="J284" s="645"/>
      <c r="K284" s="645"/>
      <c r="L284" s="645"/>
      <c r="M284" s="644"/>
      <c r="N284" s="644"/>
      <c r="O284" s="646"/>
      <c r="P284" s="646"/>
    </row>
    <row r="285" spans="2:20">
      <c r="B285" s="643"/>
      <c r="C285" s="643"/>
      <c r="D285" s="643"/>
      <c r="E285" s="643"/>
      <c r="F285" s="643"/>
      <c r="G285" s="643"/>
      <c r="H285" s="644"/>
      <c r="I285" s="644"/>
      <c r="J285" s="645"/>
      <c r="K285" s="645"/>
      <c r="L285" s="645"/>
      <c r="M285" s="644"/>
      <c r="N285" s="644"/>
      <c r="O285" s="646"/>
      <c r="P285" s="646"/>
    </row>
    <row r="286" spans="2:20">
      <c r="B286" s="643"/>
      <c r="C286" s="643"/>
      <c r="D286" s="643"/>
      <c r="E286" s="643"/>
      <c r="F286" s="643"/>
      <c r="G286" s="643"/>
      <c r="H286" s="644"/>
      <c r="I286" s="644"/>
      <c r="J286" s="645"/>
      <c r="K286" s="645"/>
      <c r="L286" s="645"/>
      <c r="M286" s="644"/>
      <c r="N286" s="644"/>
      <c r="O286" s="646"/>
      <c r="P286" s="646"/>
    </row>
    <row r="287" spans="2:20">
      <c r="B287" s="643"/>
      <c r="C287" s="643"/>
      <c r="D287" s="643"/>
      <c r="E287" s="643"/>
      <c r="F287" s="643"/>
      <c r="G287" s="643"/>
      <c r="H287" s="644"/>
      <c r="I287" s="644"/>
      <c r="J287" s="645"/>
      <c r="K287" s="645"/>
      <c r="L287" s="645"/>
      <c r="M287" s="644"/>
      <c r="N287" s="644"/>
      <c r="O287" s="646"/>
      <c r="P287" s="646"/>
    </row>
    <row r="288" spans="2:20">
      <c r="B288" s="643"/>
      <c r="C288" s="643"/>
      <c r="D288" s="643"/>
      <c r="E288" s="643"/>
      <c r="F288" s="643"/>
      <c r="G288" s="643"/>
      <c r="H288" s="644"/>
      <c r="I288" s="644"/>
      <c r="J288" s="645"/>
      <c r="K288" s="645"/>
      <c r="L288" s="645"/>
      <c r="M288" s="644"/>
      <c r="N288" s="644"/>
      <c r="O288" s="646"/>
      <c r="P288" s="646"/>
    </row>
    <row r="289" spans="2:16">
      <c r="B289" s="643"/>
      <c r="C289" s="643"/>
      <c r="D289" s="643"/>
      <c r="E289" s="643"/>
      <c r="F289" s="643"/>
      <c r="G289" s="643"/>
      <c r="H289" s="644"/>
      <c r="I289" s="644"/>
      <c r="J289" s="645"/>
      <c r="K289" s="645"/>
      <c r="L289" s="645"/>
      <c r="M289" s="644"/>
      <c r="N289" s="644"/>
      <c r="O289" s="646"/>
      <c r="P289" s="646"/>
    </row>
    <row r="290" spans="2:16">
      <c r="B290" s="643"/>
      <c r="C290" s="643"/>
      <c r="D290" s="643"/>
      <c r="E290" s="643"/>
      <c r="F290" s="643"/>
      <c r="G290" s="643"/>
      <c r="H290" s="644"/>
      <c r="I290" s="644"/>
      <c r="J290" s="645"/>
      <c r="K290" s="645"/>
      <c r="L290" s="645"/>
      <c r="M290" s="644"/>
      <c r="N290" s="644"/>
      <c r="O290" s="646"/>
      <c r="P290" s="646"/>
    </row>
    <row r="291" spans="2:16">
      <c r="B291" s="643"/>
      <c r="C291" s="643"/>
      <c r="D291" s="643"/>
      <c r="E291" s="643"/>
      <c r="F291" s="643"/>
      <c r="G291" s="643"/>
      <c r="H291" s="644"/>
      <c r="I291" s="644"/>
      <c r="J291" s="645"/>
      <c r="K291" s="645"/>
      <c r="L291" s="645"/>
      <c r="M291" s="644"/>
      <c r="N291" s="644"/>
      <c r="O291" s="646"/>
      <c r="P291" s="646"/>
    </row>
    <row r="292" spans="2:16">
      <c r="B292" s="643"/>
      <c r="C292" s="643"/>
      <c r="D292" s="643"/>
      <c r="E292" s="643"/>
      <c r="F292" s="643"/>
      <c r="G292" s="643"/>
      <c r="H292" s="644"/>
      <c r="I292" s="644"/>
      <c r="J292" s="645"/>
      <c r="K292" s="645"/>
      <c r="L292" s="645"/>
      <c r="M292" s="644"/>
      <c r="N292" s="644"/>
      <c r="O292" s="646"/>
      <c r="P292" s="646"/>
    </row>
    <row r="293" spans="2:16">
      <c r="B293" s="643"/>
      <c r="C293" s="643"/>
      <c r="D293" s="643"/>
      <c r="E293" s="643"/>
      <c r="F293" s="643"/>
      <c r="G293" s="643"/>
      <c r="H293" s="644"/>
      <c r="I293" s="644"/>
      <c r="J293" s="645"/>
      <c r="K293" s="645"/>
      <c r="L293" s="645"/>
      <c r="M293" s="644"/>
      <c r="N293" s="644"/>
      <c r="O293" s="646"/>
      <c r="P293" s="646"/>
    </row>
    <row r="294" spans="2:16">
      <c r="B294" s="643"/>
      <c r="C294" s="643"/>
      <c r="D294" s="643"/>
      <c r="E294" s="643"/>
      <c r="F294" s="643"/>
      <c r="G294" s="643"/>
      <c r="H294" s="644"/>
      <c r="I294" s="644"/>
      <c r="J294" s="645"/>
      <c r="K294" s="645"/>
      <c r="L294" s="645"/>
      <c r="M294" s="644"/>
      <c r="N294" s="644"/>
      <c r="O294" s="646"/>
      <c r="P294" s="646"/>
    </row>
    <row r="295" spans="2:16">
      <c r="B295" s="643"/>
      <c r="C295" s="643"/>
      <c r="D295" s="643"/>
      <c r="E295" s="643"/>
      <c r="F295" s="643"/>
      <c r="G295" s="643"/>
      <c r="H295" s="644"/>
      <c r="I295" s="644"/>
      <c r="J295" s="645"/>
      <c r="K295" s="645"/>
      <c r="L295" s="645"/>
      <c r="M295" s="644"/>
      <c r="N295" s="644"/>
      <c r="O295" s="646"/>
      <c r="P295" s="646"/>
    </row>
    <row r="303" spans="2:16">
      <c r="P303" s="625"/>
    </row>
    <row r="305" spans="1:20">
      <c r="A305" s="558"/>
      <c r="B305" s="558"/>
      <c r="C305" s="558"/>
      <c r="D305" s="558"/>
      <c r="E305" s="558"/>
      <c r="F305" s="558"/>
      <c r="G305" s="558"/>
      <c r="H305" s="558"/>
      <c r="I305" s="558"/>
      <c r="J305" s="558"/>
      <c r="K305" s="558"/>
      <c r="L305" s="558"/>
      <c r="M305" s="558"/>
      <c r="N305" s="558"/>
      <c r="O305" s="558"/>
      <c r="P305" s="558"/>
      <c r="Q305" s="558"/>
      <c r="R305" s="558"/>
      <c r="S305" s="558"/>
      <c r="T305" s="558"/>
    </row>
    <row r="306" spans="1:20">
      <c r="A306" s="549"/>
      <c r="B306" s="560"/>
      <c r="C306" s="560"/>
      <c r="D306" s="560"/>
      <c r="E306" s="560"/>
      <c r="F306" s="560"/>
      <c r="G306" s="560"/>
      <c r="H306" s="560"/>
      <c r="I306" s="647"/>
      <c r="J306" s="647"/>
      <c r="K306" s="647"/>
      <c r="L306" s="647"/>
      <c r="M306" s="647"/>
      <c r="N306" s="647"/>
      <c r="O306" s="647"/>
      <c r="P306" s="647"/>
      <c r="Q306" s="647"/>
      <c r="R306" s="647"/>
      <c r="S306" s="647"/>
      <c r="T306" s="549"/>
    </row>
    <row r="307" spans="1:20">
      <c r="A307" s="648"/>
      <c r="B307" s="74"/>
      <c r="C307" s="74"/>
      <c r="D307" s="74"/>
      <c r="E307" s="74"/>
      <c r="F307" s="74"/>
      <c r="G307" s="74"/>
      <c r="H307" s="74"/>
      <c r="I307" s="74"/>
      <c r="J307" s="74"/>
      <c r="K307" s="74"/>
      <c r="L307" s="74"/>
      <c r="M307" s="74"/>
      <c r="N307" s="74"/>
      <c r="O307" s="74"/>
      <c r="P307" s="74"/>
      <c r="Q307" s="74"/>
    </row>
    <row r="308" spans="1:20">
      <c r="A308" s="648"/>
      <c r="B308" s="74"/>
      <c r="C308" s="74"/>
      <c r="D308" s="74"/>
      <c r="E308" s="74"/>
      <c r="F308" s="74"/>
      <c r="G308" s="74"/>
      <c r="H308" s="74"/>
      <c r="I308" s="74"/>
      <c r="J308" s="74"/>
      <c r="K308" s="74"/>
      <c r="L308" s="74"/>
      <c r="M308" s="74"/>
      <c r="N308" s="74"/>
      <c r="O308" s="74"/>
      <c r="P308" s="74"/>
      <c r="Q308" s="74"/>
    </row>
    <row r="309" spans="1:20">
      <c r="A309" s="73"/>
      <c r="B309" s="74"/>
      <c r="C309" s="74"/>
      <c r="D309" s="74"/>
      <c r="E309" s="74"/>
      <c r="F309" s="74"/>
      <c r="G309" s="74"/>
      <c r="H309" s="74"/>
      <c r="I309" s="74"/>
      <c r="J309" s="74"/>
      <c r="K309" s="74"/>
      <c r="L309" s="74"/>
      <c r="M309" s="74"/>
      <c r="N309" s="74"/>
      <c r="O309" s="74"/>
      <c r="P309" s="74"/>
      <c r="Q309" s="74"/>
    </row>
    <row r="310" spans="1:20">
      <c r="B310" s="626"/>
      <c r="C310" s="35"/>
      <c r="D310" s="544"/>
      <c r="E310" s="544"/>
      <c r="F310" s="543"/>
      <c r="G310" s="544"/>
      <c r="H310" s="543"/>
      <c r="I310" s="544"/>
      <c r="J310" s="543"/>
      <c r="K310" s="544"/>
      <c r="L310" s="544"/>
      <c r="M310" s="544"/>
      <c r="N310" s="544"/>
      <c r="O310" s="35"/>
      <c r="P310" s="555"/>
    </row>
    <row r="311" spans="1:20">
      <c r="B311" s="649"/>
      <c r="C311" s="35"/>
      <c r="D311" s="544"/>
      <c r="E311" s="544"/>
      <c r="F311" s="543"/>
      <c r="G311" s="544"/>
      <c r="H311" s="543"/>
      <c r="I311" s="544"/>
      <c r="J311" s="543"/>
      <c r="K311" s="544"/>
      <c r="L311" s="544"/>
      <c r="M311" s="544"/>
      <c r="N311" s="544"/>
      <c r="O311" s="35"/>
      <c r="P311" s="555"/>
    </row>
    <row r="312" spans="1:20">
      <c r="B312" s="61"/>
      <c r="C312" s="35"/>
      <c r="D312" s="544"/>
      <c r="E312" s="544"/>
      <c r="F312" s="543"/>
      <c r="G312" s="544"/>
      <c r="H312" s="543"/>
      <c r="I312" s="544"/>
      <c r="J312" s="543"/>
      <c r="K312" s="544"/>
      <c r="L312" s="544"/>
      <c r="M312" s="544"/>
      <c r="N312" s="543"/>
      <c r="O312" s="35"/>
      <c r="P312" s="555"/>
    </row>
    <row r="313" spans="1:20">
      <c r="C313" s="553"/>
      <c r="F313" s="555"/>
      <c r="H313" s="555"/>
      <c r="I313" s="553"/>
      <c r="J313" s="555"/>
      <c r="N313" s="543"/>
      <c r="O313" s="553"/>
      <c r="P313" s="555"/>
    </row>
    <row r="314" spans="1:20">
      <c r="B314" s="564"/>
      <c r="C314" s="564"/>
      <c r="D314" s="564"/>
      <c r="E314" s="563"/>
      <c r="F314" s="563"/>
      <c r="G314" s="35"/>
      <c r="H314" s="650"/>
      <c r="I314" s="651"/>
      <c r="J314" s="651"/>
      <c r="K314" s="101"/>
      <c r="L314" s="101"/>
      <c r="M314" s="564"/>
      <c r="N314" s="564"/>
      <c r="O314" s="564"/>
      <c r="P314" s="101"/>
      <c r="R314" s="564"/>
      <c r="S314" s="101"/>
      <c r="T314" s="565"/>
    </row>
    <row r="315" spans="1:20">
      <c r="C315" s="553"/>
      <c r="F315" s="555"/>
      <c r="H315" s="543"/>
      <c r="I315" s="543"/>
      <c r="J315" s="555"/>
      <c r="K315" s="82"/>
      <c r="L315" s="82"/>
      <c r="M315" s="82"/>
      <c r="N315" s="64"/>
      <c r="O315" s="553"/>
      <c r="P315" s="555"/>
    </row>
    <row r="316" spans="1:20">
      <c r="C316" s="553"/>
    </row>
    <row r="317" spans="1:20">
      <c r="A317" s="648"/>
      <c r="B317" s="74"/>
      <c r="C317" s="74"/>
      <c r="D317" s="74"/>
      <c r="E317" s="74"/>
      <c r="F317" s="74"/>
      <c r="G317" s="74"/>
      <c r="H317" s="74"/>
      <c r="I317" s="74"/>
      <c r="J317" s="74"/>
      <c r="K317" s="74"/>
      <c r="L317" s="74"/>
      <c r="M317" s="74"/>
      <c r="N317" s="74"/>
      <c r="O317" s="74"/>
      <c r="P317" s="74"/>
      <c r="Q317" s="74"/>
    </row>
    <row r="318" spans="1:20">
      <c r="B318" s="61"/>
      <c r="C318" s="35"/>
      <c r="D318" s="544"/>
      <c r="E318" s="544"/>
      <c r="F318" s="543"/>
      <c r="G318" s="544"/>
      <c r="H318" s="543"/>
      <c r="I318" s="544"/>
      <c r="J318" s="543"/>
      <c r="K318" s="544"/>
      <c r="L318" s="544"/>
      <c r="M318" s="544"/>
      <c r="N318" s="543"/>
      <c r="O318" s="35"/>
      <c r="P318" s="555"/>
    </row>
    <row r="319" spans="1:20">
      <c r="N319" s="543"/>
      <c r="O319" s="553"/>
      <c r="P319" s="555"/>
    </row>
    <row r="320" spans="1:20">
      <c r="J320" s="585"/>
      <c r="K320" s="585"/>
      <c r="L320" s="563"/>
      <c r="M320" s="563"/>
      <c r="N320" s="564"/>
      <c r="O320" s="101"/>
      <c r="P320" s="555"/>
      <c r="R320" s="564"/>
      <c r="S320" s="101"/>
      <c r="T320" s="565"/>
    </row>
    <row r="321" spans="1:20">
      <c r="H321" s="81"/>
      <c r="I321" s="81"/>
      <c r="L321" s="545"/>
      <c r="M321" s="545"/>
      <c r="N321" s="82"/>
      <c r="O321" s="64"/>
      <c r="P321" s="555"/>
      <c r="S321" s="565"/>
    </row>
    <row r="322" spans="1:20">
      <c r="H322" s="81"/>
      <c r="I322" s="81"/>
      <c r="J322" s="545"/>
      <c r="K322" s="545"/>
      <c r="L322" s="545"/>
      <c r="M322" s="545"/>
      <c r="N322" s="82"/>
      <c r="O322" s="64"/>
      <c r="P322" s="555"/>
      <c r="S322" s="565"/>
    </row>
    <row r="324" spans="1:20">
      <c r="A324" s="596"/>
      <c r="B324" s="74"/>
      <c r="C324" s="74"/>
      <c r="D324" s="74"/>
      <c r="E324" s="74"/>
      <c r="F324" s="74"/>
      <c r="G324" s="74"/>
      <c r="H324" s="74"/>
      <c r="I324" s="74"/>
      <c r="J324" s="74"/>
      <c r="K324" s="74"/>
      <c r="L324" s="74"/>
      <c r="M324" s="74"/>
      <c r="N324" s="74"/>
      <c r="O324" s="74"/>
      <c r="P324" s="74"/>
      <c r="Q324" s="74"/>
    </row>
    <row r="325" spans="1:20">
      <c r="B325" s="626"/>
      <c r="C325" s="35"/>
      <c r="D325" s="544"/>
      <c r="E325" s="544"/>
      <c r="F325" s="543"/>
      <c r="G325" s="544"/>
      <c r="H325" s="543"/>
      <c r="I325" s="544"/>
      <c r="J325" s="543"/>
      <c r="K325" s="544"/>
      <c r="L325" s="544"/>
      <c r="M325" s="544"/>
      <c r="N325" s="544"/>
      <c r="O325" s="35"/>
      <c r="P325" s="555"/>
    </row>
    <row r="326" spans="1:20">
      <c r="B326" s="626"/>
      <c r="C326" s="35"/>
      <c r="D326" s="544"/>
      <c r="E326" s="544"/>
      <c r="F326" s="543"/>
      <c r="G326" s="544"/>
      <c r="H326" s="543"/>
      <c r="I326" s="544"/>
      <c r="J326" s="543"/>
      <c r="K326" s="544"/>
      <c r="L326" s="544"/>
      <c r="M326" s="544"/>
      <c r="N326" s="543"/>
      <c r="O326" s="35"/>
      <c r="P326" s="555"/>
    </row>
    <row r="327" spans="1:20">
      <c r="B327" s="592"/>
      <c r="C327" s="591"/>
      <c r="D327" s="549"/>
      <c r="E327" s="549"/>
      <c r="F327" s="543"/>
      <c r="G327" s="35"/>
      <c r="H327" s="543"/>
      <c r="I327" s="549"/>
      <c r="J327" s="552"/>
      <c r="K327" s="549"/>
      <c r="L327" s="552"/>
      <c r="M327" s="544"/>
      <c r="N327" s="543"/>
      <c r="O327" s="591"/>
      <c r="P327" s="552"/>
      <c r="Q327" s="549"/>
    </row>
    <row r="328" spans="1:20">
      <c r="B328" s="592"/>
      <c r="C328" s="591"/>
      <c r="D328" s="549"/>
      <c r="E328" s="549"/>
      <c r="F328" s="543"/>
      <c r="G328" s="544"/>
      <c r="H328" s="543"/>
      <c r="I328" s="549"/>
      <c r="J328" s="552"/>
      <c r="K328" s="549"/>
      <c r="L328" s="552"/>
      <c r="M328" s="544"/>
      <c r="N328" s="543"/>
      <c r="O328" s="591"/>
      <c r="P328" s="552"/>
      <c r="Q328" s="549"/>
    </row>
    <row r="329" spans="1:20">
      <c r="B329" s="590"/>
      <c r="C329" s="591"/>
      <c r="D329" s="549"/>
      <c r="E329" s="549"/>
      <c r="F329" s="551"/>
      <c r="G329" s="548"/>
      <c r="H329" s="543"/>
      <c r="I329" s="549"/>
      <c r="J329" s="543"/>
      <c r="K329" s="549"/>
      <c r="L329" s="552"/>
      <c r="M329" s="549"/>
      <c r="N329" s="552"/>
      <c r="O329" s="591"/>
      <c r="P329" s="552"/>
      <c r="Q329" s="549"/>
    </row>
    <row r="330" spans="1:20">
      <c r="B330" s="590"/>
      <c r="C330" s="549"/>
      <c r="D330" s="549"/>
      <c r="E330" s="549"/>
      <c r="F330" s="550"/>
      <c r="G330" s="550"/>
      <c r="H330" s="544"/>
      <c r="I330" s="549"/>
      <c r="J330" s="544"/>
      <c r="K330" s="549"/>
      <c r="L330" s="552"/>
      <c r="M330" s="549"/>
      <c r="N330" s="552"/>
      <c r="O330" s="549"/>
      <c r="P330" s="549"/>
      <c r="Q330" s="549"/>
    </row>
    <row r="331" spans="1:20">
      <c r="B331" s="590"/>
      <c r="C331" s="591"/>
      <c r="D331" s="549"/>
      <c r="E331" s="549"/>
      <c r="F331" s="551"/>
      <c r="G331" s="548"/>
      <c r="H331" s="543"/>
      <c r="I331" s="549"/>
      <c r="J331" s="543"/>
      <c r="K331" s="549"/>
      <c r="L331" s="552"/>
      <c r="M331" s="549"/>
      <c r="N331" s="552"/>
      <c r="O331" s="591"/>
      <c r="P331" s="552"/>
      <c r="Q331" s="549"/>
    </row>
    <row r="332" spans="1:20">
      <c r="B332" s="590"/>
      <c r="C332" s="549"/>
      <c r="D332" s="549"/>
      <c r="E332" s="549"/>
      <c r="F332" s="550"/>
      <c r="G332" s="550"/>
      <c r="H332" s="544"/>
      <c r="I332" s="549"/>
      <c r="J332" s="544"/>
      <c r="K332" s="549"/>
      <c r="L332" s="552"/>
      <c r="M332" s="549"/>
      <c r="N332" s="552"/>
      <c r="O332" s="549"/>
      <c r="P332" s="549"/>
      <c r="Q332" s="549"/>
    </row>
    <row r="333" spans="1:20">
      <c r="D333" s="549"/>
      <c r="E333" s="549"/>
      <c r="F333" s="549"/>
      <c r="G333" s="549"/>
      <c r="K333" s="549"/>
      <c r="L333" s="632"/>
      <c r="M333" s="632"/>
      <c r="N333" s="632"/>
      <c r="O333" s="553"/>
      <c r="P333" s="555"/>
    </row>
    <row r="334" spans="1:20">
      <c r="G334" s="563"/>
      <c r="H334" s="101"/>
      <c r="I334" s="563"/>
      <c r="J334" s="563"/>
      <c r="K334" s="563"/>
      <c r="L334" s="564"/>
      <c r="M334" s="101"/>
      <c r="P334" s="555"/>
      <c r="R334" s="564"/>
      <c r="S334" s="101"/>
      <c r="T334" s="565"/>
    </row>
    <row r="335" spans="1:20">
      <c r="H335" s="81"/>
      <c r="I335" s="81"/>
      <c r="J335" s="545"/>
      <c r="K335" s="545"/>
      <c r="L335" s="545"/>
      <c r="M335" s="545"/>
      <c r="N335" s="82"/>
      <c r="O335" s="64"/>
      <c r="P335" s="555"/>
      <c r="S335" s="565"/>
    </row>
    <row r="336" spans="1:20">
      <c r="H336" s="81"/>
      <c r="I336" s="81"/>
      <c r="J336" s="545"/>
      <c r="K336" s="545"/>
      <c r="L336" s="545"/>
      <c r="M336" s="545"/>
      <c r="N336" s="82"/>
      <c r="O336" s="64"/>
      <c r="P336" s="555"/>
      <c r="S336" s="565"/>
    </row>
    <row r="337" spans="1:20">
      <c r="P337" s="542"/>
      <c r="Q337" s="90"/>
      <c r="R337" s="564"/>
      <c r="S337" s="101"/>
      <c r="T337" s="589"/>
    </row>
    <row r="338" spans="1:20">
      <c r="A338" s="596"/>
      <c r="B338" s="74"/>
      <c r="C338" s="74"/>
      <c r="D338" s="74"/>
      <c r="E338" s="74"/>
      <c r="F338" s="74"/>
      <c r="G338" s="74"/>
      <c r="H338" s="74"/>
      <c r="I338" s="74"/>
      <c r="J338" s="74"/>
      <c r="K338" s="74"/>
      <c r="L338" s="74"/>
      <c r="M338" s="74"/>
      <c r="N338" s="74"/>
      <c r="O338" s="74"/>
      <c r="P338" s="74"/>
      <c r="Q338" s="74"/>
    </row>
    <row r="339" spans="1:20">
      <c r="A339" s="557"/>
    </row>
    <row r="340" spans="1:20">
      <c r="B340" s="554"/>
      <c r="C340" s="101"/>
      <c r="D340" s="101"/>
      <c r="F340" s="544"/>
      <c r="H340" s="543"/>
      <c r="J340" s="35"/>
      <c r="K340" s="563"/>
      <c r="L340" s="563"/>
      <c r="M340" s="563"/>
    </row>
    <row r="341" spans="1:20">
      <c r="H341" s="585"/>
      <c r="I341" s="563"/>
      <c r="J341" s="563"/>
      <c r="K341" s="563"/>
      <c r="L341" s="82"/>
      <c r="M341" s="543"/>
      <c r="O341" s="64"/>
      <c r="P341" s="555"/>
      <c r="R341" s="564"/>
      <c r="S341" s="101"/>
      <c r="T341" s="565"/>
    </row>
    <row r="342" spans="1:20">
      <c r="H342" s="81"/>
      <c r="I342" s="81"/>
      <c r="J342" s="545"/>
      <c r="K342" s="545"/>
      <c r="L342" s="545"/>
      <c r="M342" s="545"/>
      <c r="N342" s="82"/>
      <c r="O342" s="64"/>
      <c r="P342" s="562"/>
      <c r="Q342" s="562"/>
      <c r="R342" s="588"/>
      <c r="S342" s="562"/>
      <c r="T342" s="589"/>
    </row>
    <row r="343" spans="1:20">
      <c r="H343" s="81"/>
      <c r="I343" s="81"/>
      <c r="J343" s="545"/>
      <c r="K343" s="545"/>
      <c r="L343" s="545"/>
      <c r="M343" s="545"/>
      <c r="N343" s="82"/>
      <c r="O343" s="64"/>
      <c r="P343" s="542"/>
      <c r="Q343" s="542"/>
      <c r="R343" s="624"/>
      <c r="S343" s="542"/>
      <c r="T343" s="589"/>
    </row>
    <row r="344" spans="1:20">
      <c r="H344" s="81"/>
      <c r="I344" s="81"/>
      <c r="J344" s="545"/>
      <c r="K344" s="545"/>
      <c r="L344" s="545"/>
      <c r="M344" s="545"/>
      <c r="N344" s="82"/>
      <c r="O344" s="64"/>
      <c r="P344" s="542"/>
      <c r="Q344" s="542"/>
      <c r="R344" s="624"/>
      <c r="S344" s="542"/>
      <c r="T344" s="589"/>
    </row>
    <row r="345" spans="1:20">
      <c r="H345" s="81"/>
      <c r="I345" s="81"/>
      <c r="J345" s="545"/>
      <c r="K345" s="545"/>
      <c r="L345" s="545"/>
      <c r="M345" s="545"/>
      <c r="N345" s="82"/>
      <c r="O345" s="64"/>
      <c r="P345" s="542"/>
      <c r="Q345" s="542"/>
      <c r="R345" s="624"/>
      <c r="S345" s="542"/>
      <c r="T345" s="589"/>
    </row>
    <row r="346" spans="1:20">
      <c r="H346" s="81"/>
      <c r="I346" s="81"/>
      <c r="J346" s="545"/>
      <c r="K346" s="545"/>
      <c r="L346" s="545"/>
      <c r="M346" s="545"/>
      <c r="N346" s="82"/>
      <c r="O346" s="64"/>
      <c r="P346" s="542"/>
      <c r="Q346" s="542"/>
      <c r="R346" s="624"/>
      <c r="S346" s="542"/>
      <c r="T346" s="589"/>
    </row>
    <row r="347" spans="1:20">
      <c r="H347" s="81"/>
      <c r="I347" s="81"/>
      <c r="J347" s="545"/>
      <c r="K347" s="545"/>
      <c r="L347" s="545"/>
      <c r="M347" s="545"/>
      <c r="N347" s="82"/>
      <c r="O347" s="64"/>
      <c r="P347" s="562"/>
      <c r="Q347" s="562"/>
      <c r="R347" s="588"/>
      <c r="S347" s="562"/>
      <c r="T347" s="589"/>
    </row>
    <row r="348" spans="1:20">
      <c r="H348" s="81"/>
      <c r="I348" s="81"/>
      <c r="J348" s="545"/>
      <c r="K348" s="545"/>
      <c r="L348" s="545"/>
      <c r="M348" s="545"/>
      <c r="N348" s="82"/>
      <c r="O348" s="64"/>
      <c r="P348" s="542"/>
      <c r="Q348" s="542"/>
      <c r="R348" s="624"/>
      <c r="S348" s="542"/>
      <c r="T348" s="589"/>
    </row>
    <row r="349" spans="1:20">
      <c r="A349" s="596"/>
      <c r="B349" s="74"/>
      <c r="C349" s="74"/>
      <c r="D349" s="74"/>
      <c r="E349" s="74"/>
      <c r="F349" s="74"/>
      <c r="G349" s="74"/>
      <c r="H349" s="74"/>
      <c r="I349" s="74"/>
      <c r="J349" s="74"/>
      <c r="K349" s="74"/>
      <c r="L349" s="74"/>
      <c r="M349" s="74"/>
      <c r="N349" s="74"/>
      <c r="O349" s="74"/>
      <c r="P349" s="74"/>
      <c r="Q349" s="74"/>
    </row>
    <row r="350" spans="1:20">
      <c r="A350" s="648"/>
      <c r="B350" s="74"/>
      <c r="C350" s="74"/>
      <c r="D350" s="74"/>
      <c r="E350" s="74"/>
      <c r="F350" s="74"/>
      <c r="G350" s="74"/>
      <c r="H350" s="74"/>
      <c r="I350" s="74"/>
      <c r="J350" s="74"/>
      <c r="K350" s="74"/>
      <c r="L350" s="74"/>
      <c r="M350" s="74"/>
      <c r="N350" s="74"/>
      <c r="O350" s="74"/>
      <c r="P350" s="74"/>
      <c r="Q350" s="74"/>
    </row>
    <row r="351" spans="1:20">
      <c r="B351" s="652"/>
      <c r="C351" s="591"/>
      <c r="D351" s="549"/>
      <c r="E351" s="549"/>
      <c r="F351" s="552"/>
      <c r="G351" s="549"/>
      <c r="H351" s="543"/>
      <c r="I351" s="35"/>
      <c r="J351" s="543"/>
      <c r="K351" s="549"/>
      <c r="L351" s="552"/>
      <c r="M351" s="550"/>
      <c r="N351" s="551"/>
      <c r="O351" s="591"/>
      <c r="P351" s="552"/>
      <c r="Q351" s="549"/>
    </row>
    <row r="352" spans="1:20">
      <c r="B352" s="652"/>
      <c r="C352" s="591"/>
      <c r="D352" s="549"/>
      <c r="E352" s="549"/>
      <c r="F352" s="552"/>
      <c r="G352" s="549"/>
      <c r="H352" s="543"/>
      <c r="I352" s="35"/>
      <c r="J352" s="543"/>
      <c r="K352" s="549"/>
      <c r="L352" s="552"/>
      <c r="M352" s="550"/>
      <c r="N352" s="550"/>
      <c r="O352" s="591"/>
      <c r="P352" s="552"/>
      <c r="Q352" s="549"/>
    </row>
    <row r="353" spans="1:20">
      <c r="B353" s="652"/>
      <c r="C353" s="591"/>
      <c r="D353" s="549"/>
      <c r="E353" s="549"/>
      <c r="F353" s="552"/>
      <c r="G353" s="549"/>
      <c r="H353" s="543"/>
      <c r="I353" s="35"/>
      <c r="J353" s="543"/>
      <c r="K353" s="549"/>
      <c r="L353" s="552"/>
      <c r="M353" s="550"/>
      <c r="N353" s="551"/>
      <c r="O353" s="591"/>
      <c r="P353" s="552"/>
      <c r="Q353" s="549"/>
    </row>
    <row r="354" spans="1:20">
      <c r="B354" s="652"/>
      <c r="C354" s="591"/>
      <c r="D354" s="549"/>
      <c r="E354" s="549"/>
      <c r="F354" s="552"/>
      <c r="G354" s="549"/>
      <c r="H354" s="543"/>
      <c r="I354" s="35"/>
      <c r="J354" s="543"/>
      <c r="K354" s="549"/>
      <c r="L354" s="552"/>
      <c r="M354" s="550"/>
      <c r="N354" s="550"/>
      <c r="O354" s="591"/>
      <c r="P354" s="552"/>
      <c r="Q354" s="549"/>
    </row>
    <row r="355" spans="1:20">
      <c r="B355" s="75"/>
      <c r="C355" s="35"/>
      <c r="D355" s="544"/>
      <c r="E355" s="544"/>
      <c r="F355" s="543"/>
      <c r="G355" s="544"/>
      <c r="H355" s="543"/>
      <c r="I355" s="544"/>
      <c r="J355" s="543"/>
      <c r="K355" s="544"/>
      <c r="L355" s="544"/>
      <c r="M355" s="544"/>
      <c r="N355" s="543"/>
      <c r="O355" s="35"/>
      <c r="P355" s="555"/>
    </row>
    <row r="356" spans="1:20">
      <c r="B356" s="590"/>
      <c r="C356" s="591"/>
      <c r="D356" s="549"/>
      <c r="E356" s="549"/>
      <c r="F356" s="551"/>
      <c r="G356" s="548"/>
      <c r="H356" s="543"/>
      <c r="I356" s="549"/>
      <c r="J356" s="543"/>
      <c r="K356" s="549"/>
      <c r="L356" s="552"/>
      <c r="M356" s="549"/>
      <c r="N356" s="552"/>
      <c r="O356" s="591"/>
      <c r="P356" s="552"/>
      <c r="Q356" s="549"/>
    </row>
    <row r="357" spans="1:20">
      <c r="B357" s="590"/>
      <c r="C357" s="549"/>
      <c r="D357" s="549"/>
      <c r="E357" s="549"/>
      <c r="F357" s="550"/>
      <c r="G357" s="550"/>
      <c r="H357" s="544"/>
      <c r="I357" s="549"/>
      <c r="J357" s="544"/>
      <c r="K357" s="549"/>
      <c r="L357" s="552"/>
      <c r="M357" s="549"/>
      <c r="N357" s="552"/>
      <c r="O357" s="591"/>
      <c r="P357" s="549"/>
      <c r="Q357" s="549"/>
    </row>
    <row r="358" spans="1:20">
      <c r="B358" s="590"/>
      <c r="C358" s="591"/>
      <c r="D358" s="549"/>
      <c r="E358" s="549"/>
      <c r="F358" s="551"/>
      <c r="G358" s="548"/>
      <c r="H358" s="543"/>
      <c r="I358" s="549"/>
      <c r="J358" s="543"/>
      <c r="K358" s="549"/>
      <c r="L358" s="552"/>
      <c r="M358" s="549"/>
      <c r="N358" s="552"/>
      <c r="O358" s="591"/>
      <c r="P358" s="552"/>
      <c r="Q358" s="549"/>
    </row>
    <row r="359" spans="1:20">
      <c r="B359" s="590"/>
      <c r="C359" s="549"/>
      <c r="D359" s="549"/>
      <c r="E359" s="549"/>
      <c r="F359" s="550"/>
      <c r="G359" s="550"/>
      <c r="H359" s="544"/>
      <c r="I359" s="549"/>
      <c r="J359" s="544"/>
      <c r="K359" s="549"/>
      <c r="L359" s="552"/>
      <c r="M359" s="549"/>
      <c r="N359" s="552"/>
      <c r="O359" s="591"/>
      <c r="P359" s="549"/>
      <c r="Q359" s="549"/>
    </row>
    <row r="360" spans="1:20">
      <c r="C360" s="553"/>
      <c r="F360" s="555"/>
      <c r="H360" s="555"/>
      <c r="I360" s="553"/>
      <c r="J360" s="555"/>
      <c r="L360" s="632"/>
      <c r="M360" s="632"/>
      <c r="N360" s="632"/>
      <c r="O360" s="553"/>
      <c r="P360" s="555"/>
    </row>
    <row r="361" spans="1:20">
      <c r="C361" s="553"/>
      <c r="F361" s="555"/>
      <c r="I361" s="81"/>
      <c r="J361" s="585"/>
      <c r="K361" s="563"/>
      <c r="L361" s="563"/>
      <c r="M361" s="563"/>
      <c r="N361" s="82"/>
      <c r="O361" s="64"/>
      <c r="P361" s="555"/>
      <c r="R361" s="564"/>
      <c r="S361" s="101"/>
      <c r="T361" s="565"/>
    </row>
    <row r="362" spans="1:20">
      <c r="C362" s="553"/>
      <c r="F362" s="555"/>
      <c r="I362" s="81"/>
      <c r="J362" s="81"/>
      <c r="K362" s="81"/>
      <c r="L362" s="545"/>
      <c r="M362" s="545"/>
      <c r="N362" s="82"/>
      <c r="O362" s="64"/>
      <c r="P362" s="555"/>
      <c r="R362" s="554"/>
      <c r="S362" s="557"/>
      <c r="T362" s="565"/>
    </row>
    <row r="363" spans="1:20">
      <c r="C363" s="553"/>
      <c r="F363" s="555"/>
      <c r="I363" s="81"/>
      <c r="J363" s="81"/>
      <c r="K363" s="81"/>
      <c r="L363" s="545"/>
      <c r="M363" s="545"/>
      <c r="N363" s="82"/>
      <c r="O363" s="64"/>
      <c r="P363" s="555"/>
      <c r="R363" s="554"/>
      <c r="S363" s="557"/>
      <c r="T363" s="565"/>
    </row>
    <row r="364" spans="1:20">
      <c r="C364" s="553"/>
      <c r="F364" s="555"/>
      <c r="H364" s="81"/>
      <c r="I364" s="81"/>
      <c r="J364" s="545"/>
      <c r="K364" s="545"/>
      <c r="N364" s="82"/>
      <c r="O364" s="64"/>
      <c r="P364" s="555"/>
      <c r="S364" s="565"/>
    </row>
    <row r="365" spans="1:20">
      <c r="C365" s="553"/>
      <c r="F365" s="555"/>
      <c r="H365" s="81"/>
      <c r="I365" s="81"/>
      <c r="J365" s="545"/>
      <c r="K365" s="545"/>
      <c r="L365" s="545"/>
      <c r="M365" s="545"/>
      <c r="N365" s="82"/>
      <c r="O365" s="64"/>
      <c r="P365" s="555"/>
      <c r="S365" s="565"/>
    </row>
    <row r="366" spans="1:20">
      <c r="A366" s="596"/>
      <c r="B366" s="74"/>
      <c r="C366" s="74"/>
      <c r="D366" s="74"/>
      <c r="E366" s="74"/>
      <c r="F366" s="74"/>
      <c r="G366" s="74"/>
      <c r="H366" s="74"/>
      <c r="I366" s="74"/>
      <c r="J366" s="74"/>
      <c r="K366" s="74"/>
      <c r="L366" s="74"/>
      <c r="M366" s="74"/>
      <c r="N366" s="74"/>
      <c r="O366" s="74"/>
      <c r="P366" s="74"/>
      <c r="Q366" s="74"/>
    </row>
    <row r="367" spans="1:20">
      <c r="A367" s="648"/>
      <c r="B367" s="75"/>
      <c r="C367" s="35"/>
      <c r="D367" s="544"/>
      <c r="E367" s="544"/>
      <c r="F367" s="543"/>
      <c r="G367" s="544"/>
      <c r="H367" s="543"/>
      <c r="I367" s="544"/>
      <c r="J367" s="543"/>
      <c r="K367" s="544"/>
      <c r="L367" s="544"/>
      <c r="M367" s="544"/>
      <c r="N367" s="544"/>
      <c r="O367" s="553"/>
      <c r="P367" s="555"/>
    </row>
    <row r="368" spans="1:20">
      <c r="B368" s="653"/>
      <c r="C368" s="591"/>
      <c r="D368" s="549"/>
      <c r="E368" s="549"/>
      <c r="F368" s="552"/>
      <c r="G368" s="549"/>
      <c r="H368" s="543"/>
      <c r="I368" s="35"/>
      <c r="J368" s="543"/>
      <c r="K368" s="549"/>
      <c r="L368" s="552"/>
      <c r="M368" s="550"/>
      <c r="N368" s="551"/>
      <c r="O368" s="591"/>
      <c r="P368" s="552"/>
      <c r="Q368" s="549"/>
    </row>
    <row r="369" spans="1:20">
      <c r="B369" s="654"/>
      <c r="C369" s="591"/>
      <c r="D369" s="549"/>
      <c r="E369" s="549"/>
      <c r="F369" s="552"/>
      <c r="G369" s="549"/>
      <c r="H369" s="543"/>
      <c r="I369" s="35"/>
      <c r="J369" s="543"/>
      <c r="K369" s="549"/>
      <c r="L369" s="552"/>
      <c r="M369" s="550"/>
      <c r="N369" s="550"/>
      <c r="O369" s="591"/>
      <c r="P369" s="552"/>
      <c r="Q369" s="549"/>
    </row>
    <row r="370" spans="1:20">
      <c r="B370" s="75"/>
      <c r="C370" s="35"/>
      <c r="D370" s="544"/>
      <c r="E370" s="544"/>
      <c r="F370" s="543"/>
      <c r="G370" s="544"/>
      <c r="H370" s="543"/>
      <c r="I370" s="544"/>
      <c r="J370" s="543"/>
      <c r="K370" s="544"/>
      <c r="L370" s="544"/>
      <c r="M370" s="544"/>
      <c r="N370" s="543"/>
      <c r="O370" s="553"/>
      <c r="P370" s="555"/>
    </row>
    <row r="371" spans="1:20">
      <c r="B371" s="653"/>
      <c r="C371" s="591"/>
      <c r="D371" s="549"/>
      <c r="E371" s="549"/>
      <c r="F371" s="552"/>
      <c r="G371" s="549"/>
      <c r="H371" s="543"/>
      <c r="I371" s="35"/>
      <c r="J371" s="543"/>
      <c r="K371" s="549"/>
      <c r="L371" s="552"/>
      <c r="M371" s="550"/>
      <c r="N371" s="551"/>
      <c r="O371" s="591"/>
      <c r="P371" s="552"/>
      <c r="Q371" s="549"/>
    </row>
    <row r="372" spans="1:20">
      <c r="B372" s="654"/>
      <c r="C372" s="591"/>
      <c r="D372" s="549"/>
      <c r="E372" s="549"/>
      <c r="F372" s="552"/>
      <c r="G372" s="549"/>
      <c r="H372" s="543"/>
      <c r="I372" s="35"/>
      <c r="J372" s="543"/>
      <c r="K372" s="549"/>
      <c r="L372" s="552"/>
      <c r="M372" s="550"/>
      <c r="N372" s="550"/>
      <c r="O372" s="591"/>
      <c r="P372" s="552"/>
      <c r="Q372" s="549"/>
      <c r="S372" s="565"/>
    </row>
    <row r="373" spans="1:20">
      <c r="N373" s="543"/>
      <c r="O373" s="553"/>
      <c r="P373" s="555"/>
    </row>
    <row r="374" spans="1:20">
      <c r="I374" s="81"/>
      <c r="J374" s="585"/>
      <c r="K374" s="563"/>
      <c r="L374" s="563"/>
      <c r="M374" s="563"/>
      <c r="N374" s="82"/>
      <c r="O374" s="64"/>
      <c r="P374" s="555"/>
      <c r="R374" s="564"/>
      <c r="S374" s="101"/>
      <c r="T374" s="565"/>
    </row>
    <row r="375" spans="1:20">
      <c r="I375" s="81"/>
      <c r="J375" s="81"/>
      <c r="K375" s="81"/>
      <c r="L375" s="545"/>
      <c r="M375" s="545"/>
      <c r="N375" s="82"/>
      <c r="O375" s="64"/>
      <c r="P375" s="555"/>
      <c r="R375" s="554"/>
      <c r="S375" s="557"/>
      <c r="T375" s="565"/>
    </row>
    <row r="376" spans="1:20">
      <c r="I376" s="81"/>
      <c r="J376" s="81"/>
      <c r="K376" s="81"/>
      <c r="L376" s="545"/>
      <c r="M376" s="545"/>
      <c r="N376" s="82"/>
      <c r="O376" s="64"/>
      <c r="P376" s="555"/>
      <c r="R376" s="554"/>
      <c r="S376" s="557"/>
      <c r="T376" s="565"/>
    </row>
    <row r="377" spans="1:20">
      <c r="H377" s="81"/>
      <c r="I377" s="81"/>
      <c r="J377" s="545"/>
      <c r="K377" s="545"/>
      <c r="L377" s="545"/>
      <c r="M377" s="545"/>
      <c r="N377" s="82"/>
      <c r="O377" s="64"/>
      <c r="P377" s="555"/>
      <c r="S377" s="565"/>
    </row>
    <row r="378" spans="1:20">
      <c r="H378" s="81"/>
      <c r="I378" s="81"/>
      <c r="J378" s="545"/>
      <c r="K378" s="545"/>
      <c r="L378" s="545"/>
      <c r="M378" s="545"/>
      <c r="N378" s="82"/>
      <c r="O378" s="64"/>
      <c r="S378" s="565"/>
    </row>
    <row r="379" spans="1:20">
      <c r="A379" s="596"/>
      <c r="B379" s="74"/>
      <c r="C379" s="74"/>
      <c r="D379" s="74"/>
      <c r="E379" s="74"/>
      <c r="F379" s="74"/>
      <c r="G379" s="74"/>
      <c r="H379" s="74"/>
      <c r="I379" s="74"/>
      <c r="J379" s="74"/>
      <c r="K379" s="74"/>
      <c r="L379" s="74"/>
      <c r="M379" s="74"/>
      <c r="N379" s="74"/>
      <c r="O379" s="74"/>
      <c r="P379" s="74"/>
      <c r="Q379" s="74"/>
    </row>
    <row r="380" spans="1:20">
      <c r="B380" s="655"/>
      <c r="C380" s="591"/>
      <c r="D380" s="549"/>
      <c r="E380" s="549"/>
      <c r="F380" s="552"/>
      <c r="G380" s="549"/>
      <c r="H380" s="543"/>
      <c r="I380" s="35"/>
      <c r="J380" s="543"/>
      <c r="K380" s="549"/>
      <c r="L380" s="552"/>
      <c r="M380" s="550"/>
      <c r="N380" s="551"/>
      <c r="O380" s="591"/>
      <c r="P380" s="552"/>
      <c r="Q380" s="549"/>
    </row>
    <row r="381" spans="1:20">
      <c r="B381" s="652"/>
      <c r="C381" s="591"/>
      <c r="D381" s="549"/>
      <c r="E381" s="549"/>
      <c r="F381" s="552"/>
      <c r="G381" s="549"/>
      <c r="H381" s="543"/>
      <c r="I381" s="35"/>
      <c r="J381" s="543"/>
      <c r="K381" s="549"/>
      <c r="L381" s="552"/>
      <c r="M381" s="550"/>
      <c r="N381" s="550"/>
      <c r="O381" s="591"/>
      <c r="P381" s="552"/>
      <c r="Q381" s="549"/>
    </row>
    <row r="382" spans="1:20">
      <c r="D382" s="549"/>
      <c r="E382" s="549"/>
      <c r="F382" s="549"/>
      <c r="G382" s="549"/>
      <c r="K382" s="549"/>
      <c r="L382" s="549"/>
      <c r="M382" s="549"/>
      <c r="N382" s="543"/>
      <c r="O382" s="553"/>
      <c r="P382" s="555"/>
    </row>
    <row r="383" spans="1:20">
      <c r="I383" s="81"/>
      <c r="J383" s="585"/>
      <c r="K383" s="563"/>
      <c r="L383" s="563"/>
      <c r="M383" s="563"/>
      <c r="N383" s="82"/>
      <c r="O383" s="64"/>
      <c r="P383" s="555"/>
      <c r="R383" s="564"/>
      <c r="S383" s="101"/>
      <c r="T383" s="565"/>
    </row>
    <row r="384" spans="1:20">
      <c r="I384" s="81"/>
      <c r="J384" s="81"/>
      <c r="K384" s="81"/>
      <c r="L384" s="545"/>
      <c r="M384" s="545"/>
      <c r="N384" s="82"/>
      <c r="O384" s="64"/>
      <c r="P384" s="555"/>
      <c r="R384" s="554"/>
      <c r="S384" s="557"/>
      <c r="T384" s="565"/>
    </row>
    <row r="385" spans="1:20">
      <c r="I385" s="81"/>
      <c r="J385" s="81"/>
      <c r="K385" s="81"/>
      <c r="L385" s="545"/>
      <c r="M385" s="545"/>
      <c r="N385" s="82"/>
      <c r="O385" s="64"/>
      <c r="P385" s="562"/>
      <c r="Q385" s="562"/>
      <c r="R385" s="588"/>
      <c r="S385" s="562"/>
      <c r="T385" s="634"/>
    </row>
    <row r="386" spans="1:20">
      <c r="I386" s="81"/>
      <c r="J386" s="81"/>
      <c r="K386" s="81"/>
      <c r="L386" s="545"/>
      <c r="M386" s="545"/>
      <c r="N386" s="82"/>
      <c r="O386" s="64"/>
      <c r="P386" s="625"/>
      <c r="Q386" s="625"/>
      <c r="R386" s="625"/>
      <c r="S386" s="634"/>
      <c r="T386" s="565"/>
    </row>
    <row r="387" spans="1:20">
      <c r="I387" s="81"/>
      <c r="J387" s="81"/>
      <c r="K387" s="81"/>
      <c r="L387" s="545"/>
      <c r="M387" s="545"/>
      <c r="N387" s="82"/>
      <c r="O387" s="64"/>
      <c r="P387" s="625"/>
      <c r="Q387" s="625"/>
      <c r="R387" s="625"/>
      <c r="S387" s="634"/>
      <c r="T387" s="565"/>
    </row>
    <row r="388" spans="1:20">
      <c r="I388" s="81"/>
      <c r="J388" s="81"/>
      <c r="K388" s="81"/>
      <c r="L388" s="545"/>
      <c r="M388" s="545"/>
      <c r="N388" s="82"/>
      <c r="O388" s="64"/>
      <c r="P388" s="625"/>
      <c r="Q388" s="625"/>
      <c r="R388" s="625"/>
      <c r="S388" s="634"/>
      <c r="T388" s="565"/>
    </row>
    <row r="389" spans="1:20">
      <c r="I389" s="81"/>
      <c r="J389" s="81"/>
      <c r="K389" s="81"/>
      <c r="L389" s="545"/>
      <c r="M389" s="545"/>
      <c r="N389" s="82"/>
      <c r="O389" s="64"/>
      <c r="P389" s="625"/>
      <c r="Q389" s="625"/>
      <c r="R389" s="625"/>
      <c r="S389" s="634"/>
      <c r="T389" s="565"/>
    </row>
    <row r="390" spans="1:20">
      <c r="I390" s="81"/>
      <c r="J390" s="81"/>
      <c r="K390" s="81"/>
      <c r="L390" s="545"/>
      <c r="M390" s="545"/>
      <c r="N390" s="82"/>
      <c r="O390" s="64"/>
      <c r="P390" s="625"/>
      <c r="Q390" s="625"/>
      <c r="R390" s="625"/>
      <c r="S390" s="634"/>
      <c r="T390" s="565"/>
    </row>
    <row r="391" spans="1:20">
      <c r="I391" s="81"/>
      <c r="J391" s="81"/>
      <c r="K391" s="81"/>
      <c r="L391" s="545"/>
      <c r="M391" s="545"/>
      <c r="N391" s="82"/>
      <c r="O391" s="64"/>
      <c r="P391" s="625"/>
      <c r="Q391" s="625"/>
      <c r="R391" s="625"/>
      <c r="S391" s="634"/>
      <c r="T391" s="565"/>
    </row>
    <row r="392" spans="1:20">
      <c r="I392" s="81"/>
      <c r="J392" s="81"/>
      <c r="K392" s="81"/>
      <c r="L392" s="545"/>
      <c r="M392" s="545"/>
      <c r="N392" s="82"/>
      <c r="O392" s="64"/>
      <c r="T392" s="565"/>
    </row>
    <row r="393" spans="1:20">
      <c r="I393" s="81"/>
      <c r="J393" s="81"/>
      <c r="K393" s="81"/>
      <c r="L393" s="545"/>
      <c r="M393" s="545"/>
      <c r="N393" s="82"/>
      <c r="O393" s="64"/>
      <c r="P393" s="555"/>
      <c r="R393" s="554"/>
      <c r="S393" s="557"/>
      <c r="T393" s="565"/>
    </row>
    <row r="394" spans="1:20">
      <c r="H394" s="81"/>
      <c r="I394" s="81"/>
      <c r="J394" s="545"/>
      <c r="K394" s="545"/>
      <c r="L394" s="545"/>
      <c r="M394" s="545"/>
      <c r="N394" s="82"/>
      <c r="O394" s="64"/>
      <c r="P394" s="555"/>
    </row>
    <row r="395" spans="1:20">
      <c r="H395" s="81"/>
      <c r="I395" s="81"/>
      <c r="J395" s="545"/>
      <c r="K395" s="545"/>
      <c r="L395" s="545"/>
      <c r="M395" s="545"/>
      <c r="N395" s="82"/>
      <c r="O395" s="64"/>
      <c r="P395" s="562"/>
      <c r="Q395" s="562"/>
      <c r="R395" s="588"/>
      <c r="S395" s="562"/>
      <c r="T395" s="589"/>
    </row>
    <row r="396" spans="1:20">
      <c r="H396" s="81"/>
      <c r="I396" s="81"/>
      <c r="J396" s="545"/>
      <c r="K396" s="545"/>
      <c r="L396" s="545"/>
      <c r="M396" s="545"/>
      <c r="N396" s="82"/>
      <c r="O396" s="64"/>
      <c r="P396" s="542"/>
      <c r="Q396" s="542"/>
      <c r="R396" s="624"/>
      <c r="S396" s="542"/>
    </row>
    <row r="397" spans="1:20">
      <c r="A397" s="596"/>
      <c r="B397" s="74"/>
      <c r="C397" s="74"/>
      <c r="D397" s="74"/>
      <c r="E397" s="74"/>
      <c r="F397" s="74"/>
      <c r="G397" s="74"/>
      <c r="H397" s="74"/>
      <c r="I397" s="74"/>
      <c r="J397" s="74"/>
      <c r="K397" s="74"/>
      <c r="L397" s="74"/>
      <c r="M397" s="74"/>
      <c r="N397" s="74"/>
      <c r="O397" s="74"/>
      <c r="P397" s="74"/>
      <c r="Q397" s="74"/>
    </row>
    <row r="398" spans="1:20">
      <c r="B398" s="75"/>
      <c r="C398" s="35"/>
      <c r="D398" s="544"/>
      <c r="E398" s="544"/>
      <c r="F398" s="544"/>
      <c r="G398" s="544"/>
      <c r="H398" s="543"/>
      <c r="I398" s="544"/>
      <c r="J398" s="543"/>
      <c r="K398" s="544"/>
      <c r="L398" s="544"/>
      <c r="M398" s="544"/>
      <c r="N398" s="544"/>
      <c r="O398" s="35"/>
      <c r="P398" s="555"/>
    </row>
    <row r="399" spans="1:20">
      <c r="C399" s="35"/>
      <c r="D399" s="544"/>
      <c r="E399" s="544"/>
      <c r="F399" s="544"/>
      <c r="G399" s="544"/>
      <c r="H399" s="543"/>
      <c r="I399" s="544"/>
      <c r="J399" s="543"/>
      <c r="K399" s="544"/>
      <c r="L399" s="544"/>
      <c r="M399" s="544"/>
      <c r="N399" s="544"/>
      <c r="O399" s="35"/>
    </row>
    <row r="400" spans="1:20">
      <c r="N400" s="543"/>
      <c r="O400" s="553"/>
      <c r="P400" s="555"/>
    </row>
    <row r="401" spans="1:20">
      <c r="I401" s="81"/>
      <c r="J401" s="585"/>
      <c r="K401" s="563"/>
      <c r="L401" s="563"/>
      <c r="M401" s="563"/>
      <c r="N401" s="82"/>
      <c r="O401" s="64"/>
      <c r="P401" s="555"/>
      <c r="R401" s="564"/>
      <c r="S401" s="101"/>
      <c r="T401" s="565"/>
    </row>
    <row r="405" spans="1:20">
      <c r="A405" s="596"/>
      <c r="B405" s="74"/>
      <c r="C405" s="74"/>
      <c r="D405" s="74"/>
      <c r="E405" s="74"/>
      <c r="F405" s="74"/>
      <c r="G405" s="74"/>
      <c r="H405" s="74"/>
      <c r="I405" s="74"/>
      <c r="J405" s="74"/>
      <c r="K405" s="74"/>
      <c r="L405" s="74"/>
      <c r="M405" s="74"/>
      <c r="N405" s="74"/>
      <c r="O405" s="74"/>
      <c r="P405" s="74"/>
      <c r="Q405" s="74"/>
    </row>
    <row r="406" spans="1:20">
      <c r="B406" s="625"/>
    </row>
    <row r="407" spans="1:20">
      <c r="A407" s="557"/>
    </row>
    <row r="408" spans="1:20">
      <c r="L408" s="545"/>
      <c r="M408" s="545"/>
      <c r="N408" s="545"/>
      <c r="O408" s="82"/>
      <c r="P408" s="64"/>
      <c r="S408" s="565"/>
    </row>
    <row r="409" spans="1:20">
      <c r="B409" s="553"/>
      <c r="H409" s="35"/>
      <c r="I409" s="563"/>
      <c r="J409" s="563"/>
      <c r="M409" s="627"/>
      <c r="N409" s="627"/>
      <c r="O409" s="628"/>
      <c r="P409" s="545"/>
      <c r="S409" s="565"/>
    </row>
    <row r="410" spans="1:20">
      <c r="B410" s="553"/>
      <c r="H410" s="35"/>
      <c r="I410" s="563"/>
      <c r="J410" s="563"/>
      <c r="L410" s="545"/>
      <c r="M410" s="627"/>
      <c r="N410" s="627"/>
      <c r="O410" s="628"/>
      <c r="P410" s="557"/>
      <c r="S410" s="565"/>
    </row>
    <row r="411" spans="1:20">
      <c r="B411" s="553"/>
      <c r="H411" s="35"/>
      <c r="I411" s="101"/>
      <c r="J411" s="101"/>
      <c r="L411" s="545"/>
      <c r="M411" s="627"/>
      <c r="N411" s="627"/>
      <c r="O411" s="628"/>
      <c r="P411" s="557"/>
      <c r="S411" s="565"/>
    </row>
    <row r="412" spans="1:20">
      <c r="B412" s="553"/>
      <c r="H412" s="35"/>
      <c r="I412" s="563"/>
      <c r="J412" s="563"/>
      <c r="L412" s="545"/>
      <c r="M412" s="627"/>
      <c r="N412" s="627"/>
      <c r="O412" s="628"/>
      <c r="P412" s="545"/>
      <c r="S412" s="565"/>
    </row>
    <row r="413" spans="1:20">
      <c r="B413" s="553"/>
      <c r="H413" s="35"/>
      <c r="L413" s="545"/>
      <c r="M413" s="627"/>
      <c r="N413" s="627"/>
      <c r="O413" s="628"/>
      <c r="P413" s="545"/>
      <c r="S413" s="565"/>
    </row>
    <row r="414" spans="1:20">
      <c r="L414" s="545"/>
      <c r="M414" s="545"/>
      <c r="N414" s="545"/>
      <c r="O414" s="82"/>
      <c r="P414" s="64"/>
      <c r="S414" s="565"/>
    </row>
    <row r="415" spans="1:20">
      <c r="F415" s="554"/>
      <c r="I415" s="563"/>
      <c r="J415" s="563"/>
      <c r="K415" s="564"/>
      <c r="L415" s="545"/>
      <c r="M415" s="563"/>
      <c r="N415" s="563"/>
      <c r="O415" s="82"/>
      <c r="P415" s="35"/>
      <c r="R415" s="564"/>
      <c r="S415" s="101"/>
      <c r="T415" s="565"/>
    </row>
    <row r="416" spans="1:20">
      <c r="L416" s="545"/>
      <c r="M416" s="545"/>
      <c r="N416" s="545"/>
      <c r="O416" s="82"/>
      <c r="P416" s="542"/>
      <c r="Q416" s="90"/>
      <c r="R416" s="564"/>
      <c r="S416" s="101"/>
      <c r="T416" s="634"/>
    </row>
    <row r="417" spans="1:20">
      <c r="L417" s="545"/>
      <c r="M417" s="545"/>
      <c r="N417" s="545"/>
      <c r="O417" s="82"/>
      <c r="P417" s="542"/>
      <c r="Q417" s="90"/>
      <c r="R417" s="564"/>
      <c r="S417" s="101"/>
      <c r="T417" s="634"/>
    </row>
    <row r="418" spans="1:20">
      <c r="R418" s="557"/>
    </row>
    <row r="419" spans="1:20">
      <c r="B419" s="625"/>
      <c r="C419" s="61"/>
      <c r="D419" s="61"/>
      <c r="E419" s="61"/>
      <c r="F419" s="61"/>
      <c r="G419" s="61"/>
      <c r="H419" s="61"/>
      <c r="I419" s="61"/>
      <c r="J419" s="61"/>
      <c r="K419" s="61"/>
      <c r="L419" s="61"/>
      <c r="M419" s="61"/>
      <c r="N419" s="61"/>
      <c r="R419" s="557"/>
    </row>
    <row r="420" spans="1:20">
      <c r="A420" s="557"/>
      <c r="B420" s="61"/>
      <c r="C420" s="630"/>
      <c r="D420" s="630"/>
      <c r="E420" s="630"/>
      <c r="F420" s="630"/>
      <c r="G420" s="630"/>
      <c r="H420" s="630"/>
      <c r="I420" s="630"/>
      <c r="J420" s="630"/>
      <c r="K420" s="630"/>
      <c r="L420" s="61"/>
      <c r="M420" s="61"/>
      <c r="N420" s="61"/>
      <c r="R420" s="557"/>
    </row>
    <row r="421" spans="1:20">
      <c r="B421" s="61"/>
      <c r="C421" s="61"/>
      <c r="D421" s="61"/>
      <c r="E421" s="61"/>
      <c r="F421" s="61"/>
      <c r="G421" s="61"/>
      <c r="H421" s="61"/>
      <c r="I421" s="61"/>
      <c r="J421" s="61"/>
      <c r="K421" s="61"/>
      <c r="L421" s="61"/>
      <c r="M421" s="61"/>
      <c r="N421" s="61"/>
      <c r="R421" s="557"/>
    </row>
    <row r="422" spans="1:20">
      <c r="B422" s="553"/>
      <c r="H422" s="35"/>
      <c r="I422" s="563"/>
      <c r="J422" s="563"/>
      <c r="L422" s="545"/>
      <c r="M422" s="627"/>
      <c r="N422" s="627"/>
      <c r="O422" s="628"/>
      <c r="P422" s="557"/>
      <c r="R422" s="557"/>
    </row>
    <row r="423" spans="1:20">
      <c r="B423" s="553"/>
      <c r="H423" s="35"/>
      <c r="I423" s="101"/>
      <c r="J423" s="101"/>
      <c r="L423" s="545"/>
      <c r="M423" s="656"/>
      <c r="N423" s="656"/>
      <c r="O423" s="628"/>
      <c r="P423" s="557"/>
      <c r="R423" s="557"/>
    </row>
    <row r="424" spans="1:20">
      <c r="B424" s="553"/>
      <c r="H424" s="35"/>
      <c r="I424" s="101"/>
      <c r="J424" s="101"/>
      <c r="L424" s="545"/>
      <c r="M424" s="656"/>
      <c r="N424" s="656"/>
      <c r="O424" s="628"/>
      <c r="P424" s="557"/>
      <c r="R424" s="557"/>
    </row>
    <row r="425" spans="1:20">
      <c r="B425" s="553"/>
      <c r="H425" s="35"/>
      <c r="L425" s="545"/>
      <c r="M425" s="627"/>
      <c r="N425" s="627"/>
      <c r="O425" s="628"/>
      <c r="P425" s="545"/>
      <c r="R425" s="557"/>
    </row>
    <row r="426" spans="1:20">
      <c r="F426" s="554"/>
      <c r="I426" s="563"/>
      <c r="J426" s="563"/>
      <c r="K426" s="564"/>
      <c r="L426" s="545"/>
      <c r="M426" s="563"/>
      <c r="N426" s="563"/>
      <c r="O426" s="82"/>
      <c r="P426" s="35"/>
      <c r="R426" s="564"/>
      <c r="S426" s="101"/>
      <c r="T426" s="565"/>
    </row>
    <row r="427" spans="1:20">
      <c r="L427" s="545"/>
      <c r="M427" s="545"/>
      <c r="N427" s="545"/>
      <c r="O427" s="82"/>
      <c r="P427" s="64"/>
      <c r="R427" s="557"/>
      <c r="T427" s="565"/>
    </row>
    <row r="428" spans="1:20">
      <c r="C428" s="553"/>
      <c r="J428" s="554"/>
      <c r="K428" s="545"/>
      <c r="L428" s="545"/>
      <c r="M428" s="545"/>
      <c r="N428" s="545"/>
      <c r="O428" s="82"/>
      <c r="P428" s="64"/>
      <c r="R428" s="557"/>
      <c r="T428" s="565"/>
    </row>
    <row r="429" spans="1:20">
      <c r="R429" s="557"/>
    </row>
    <row r="430" spans="1:20">
      <c r="A430" s="582"/>
      <c r="R430" s="557"/>
    </row>
    <row r="431" spans="1:20">
      <c r="B431" s="554"/>
      <c r="C431" s="101"/>
      <c r="D431" s="101"/>
      <c r="F431" s="544"/>
      <c r="H431" s="543"/>
      <c r="J431" s="35"/>
      <c r="K431" s="563"/>
      <c r="L431" s="563"/>
      <c r="M431" s="563"/>
    </row>
    <row r="432" spans="1:20">
      <c r="H432" s="585"/>
      <c r="I432" s="563"/>
      <c r="J432" s="563"/>
      <c r="K432" s="563"/>
      <c r="L432" s="82"/>
      <c r="M432" s="543"/>
      <c r="O432" s="64"/>
      <c r="P432" s="555"/>
      <c r="R432" s="564"/>
      <c r="S432" s="101"/>
      <c r="T432" s="565"/>
    </row>
    <row r="433" spans="6:23">
      <c r="F433" s="555"/>
      <c r="G433" s="553"/>
      <c r="H433" s="555"/>
    </row>
    <row r="434" spans="6:23">
      <c r="F434" s="555"/>
      <c r="G434" s="553"/>
      <c r="H434" s="553"/>
      <c r="I434" s="563"/>
      <c r="J434" s="563"/>
      <c r="K434" s="553"/>
      <c r="L434" s="553"/>
      <c r="M434" s="553"/>
      <c r="P434" s="562"/>
      <c r="Q434" s="562"/>
      <c r="R434" s="588"/>
      <c r="S434" s="562"/>
      <c r="T434" s="634"/>
    </row>
    <row r="435" spans="6:23">
      <c r="H435" s="553"/>
      <c r="I435" s="545"/>
      <c r="J435" s="545"/>
      <c r="K435" s="553"/>
      <c r="L435" s="553"/>
      <c r="M435" s="553"/>
    </row>
    <row r="436" spans="6:23">
      <c r="H436" s="553"/>
      <c r="I436" s="545"/>
      <c r="J436" s="545"/>
      <c r="K436" s="553"/>
      <c r="L436" s="553"/>
      <c r="M436" s="553"/>
      <c r="W436" s="555"/>
    </row>
    <row r="437" spans="6:23">
      <c r="H437" s="553"/>
      <c r="I437" s="545"/>
      <c r="J437" s="545"/>
      <c r="K437" s="553"/>
      <c r="L437" s="553"/>
      <c r="M437" s="553"/>
    </row>
    <row r="438" spans="6:23">
      <c r="H438" s="553"/>
      <c r="I438" s="545"/>
      <c r="J438" s="545"/>
      <c r="K438" s="553"/>
      <c r="L438" s="553"/>
      <c r="M438" s="553"/>
    </row>
    <row r="439" spans="6:23">
      <c r="H439" s="553"/>
      <c r="I439" s="545"/>
      <c r="J439" s="545"/>
      <c r="K439" s="553"/>
      <c r="L439" s="553"/>
      <c r="M439" s="553"/>
    </row>
    <row r="440" spans="6:23">
      <c r="H440" s="553"/>
      <c r="I440" s="545"/>
      <c r="J440" s="545"/>
      <c r="K440" s="553"/>
      <c r="L440" s="553"/>
      <c r="M440" s="553"/>
    </row>
    <row r="441" spans="6:23">
      <c r="H441" s="553"/>
      <c r="I441" s="545"/>
      <c r="J441" s="545"/>
      <c r="K441" s="553"/>
      <c r="L441" s="553"/>
      <c r="M441" s="553"/>
    </row>
    <row r="442" spans="6:23">
      <c r="H442" s="553"/>
      <c r="I442" s="545"/>
      <c r="J442" s="545"/>
      <c r="K442" s="553"/>
      <c r="L442" s="553"/>
      <c r="M442" s="553"/>
    </row>
    <row r="443" spans="6:23">
      <c r="H443" s="553"/>
      <c r="I443" s="545"/>
      <c r="J443" s="545"/>
      <c r="K443" s="553"/>
      <c r="L443" s="553"/>
      <c r="M443" s="553"/>
    </row>
    <row r="444" spans="6:23">
      <c r="H444" s="553"/>
      <c r="I444" s="545"/>
      <c r="J444" s="545"/>
      <c r="K444" s="553"/>
      <c r="L444" s="553"/>
      <c r="M444" s="553"/>
    </row>
    <row r="445" spans="6:23">
      <c r="H445" s="553"/>
      <c r="I445" s="545"/>
      <c r="J445" s="545"/>
      <c r="K445" s="553"/>
      <c r="L445" s="553"/>
      <c r="M445" s="553"/>
      <c r="P445" s="555"/>
      <c r="R445" s="554"/>
      <c r="S445" s="557"/>
    </row>
    <row r="446" spans="6:23">
      <c r="H446" s="553"/>
      <c r="I446" s="545"/>
      <c r="J446" s="545"/>
      <c r="K446" s="553"/>
      <c r="L446" s="553"/>
      <c r="M446" s="553"/>
      <c r="P446" s="555"/>
      <c r="R446" s="554"/>
      <c r="S446" s="557"/>
    </row>
    <row r="447" spans="6:23">
      <c r="H447" s="553"/>
      <c r="I447" s="545"/>
      <c r="J447" s="545"/>
      <c r="K447" s="553"/>
      <c r="L447" s="553"/>
      <c r="M447" s="553"/>
      <c r="P447" s="562"/>
      <c r="Q447" s="562"/>
      <c r="R447" s="588"/>
      <c r="S447" s="562"/>
      <c r="T447" s="589"/>
    </row>
    <row r="450" spans="2:20">
      <c r="C450" s="61"/>
    </row>
    <row r="451" spans="2:20">
      <c r="B451" s="61"/>
      <c r="C451" s="101"/>
      <c r="D451" s="101"/>
      <c r="F451" s="544"/>
      <c r="H451" s="543"/>
      <c r="J451" s="35"/>
      <c r="K451" s="563"/>
      <c r="L451" s="563"/>
      <c r="M451" s="563"/>
    </row>
    <row r="452" spans="2:20">
      <c r="H452" s="555"/>
      <c r="I452" s="553"/>
      <c r="J452" s="563"/>
      <c r="K452" s="563"/>
      <c r="L452" s="563"/>
      <c r="M452" s="563"/>
    </row>
    <row r="453" spans="2:20">
      <c r="B453" s="557"/>
      <c r="C453" s="101"/>
      <c r="D453" s="101"/>
      <c r="H453" s="555"/>
      <c r="I453" s="553"/>
      <c r="K453" s="553"/>
      <c r="L453" s="563"/>
      <c r="M453" s="563"/>
    </row>
    <row r="454" spans="2:20">
      <c r="B454" s="557"/>
      <c r="C454" s="101"/>
      <c r="D454" s="101"/>
      <c r="H454" s="555"/>
      <c r="I454" s="553"/>
      <c r="K454" s="553"/>
      <c r="L454" s="563"/>
      <c r="M454" s="563"/>
    </row>
    <row r="455" spans="2:20">
      <c r="B455" s="557"/>
      <c r="C455" s="101"/>
      <c r="D455" s="101"/>
      <c r="H455" s="555"/>
      <c r="I455" s="553"/>
      <c r="K455" s="553"/>
      <c r="L455" s="563"/>
      <c r="M455" s="563"/>
    </row>
    <row r="456" spans="2:20">
      <c r="J456" s="544"/>
      <c r="K456" s="553"/>
      <c r="L456" s="563"/>
      <c r="M456" s="563"/>
    </row>
    <row r="457" spans="2:20">
      <c r="N457" s="101"/>
      <c r="O457" s="101"/>
    </row>
    <row r="458" spans="2:20">
      <c r="F458" s="563"/>
      <c r="G458" s="101"/>
      <c r="I458" s="556"/>
      <c r="J458" s="555"/>
      <c r="L458" s="563"/>
      <c r="M458" s="101"/>
      <c r="R458" s="564"/>
      <c r="S458" s="101"/>
      <c r="T458" s="565"/>
    </row>
    <row r="459" spans="2:20">
      <c r="O459" s="625"/>
      <c r="P459" s="542"/>
      <c r="Q459" s="35"/>
      <c r="R459" s="564"/>
      <c r="S459" s="101"/>
      <c r="T459" s="589"/>
    </row>
    <row r="462" spans="2:20">
      <c r="B462" s="638"/>
      <c r="C462" s="638"/>
      <c r="D462" s="638"/>
      <c r="E462" s="638"/>
      <c r="F462" s="638"/>
      <c r="G462" s="638"/>
      <c r="H462" s="639"/>
      <c r="I462" s="639"/>
      <c r="J462" s="640"/>
      <c r="K462" s="640"/>
      <c r="L462" s="640"/>
      <c r="M462" s="639"/>
      <c r="N462" s="639"/>
      <c r="O462" s="641"/>
      <c r="P462" s="641"/>
    </row>
    <row r="463" spans="2:20">
      <c r="B463" s="638"/>
      <c r="C463" s="638"/>
      <c r="D463" s="638"/>
      <c r="E463" s="638"/>
      <c r="F463" s="638"/>
      <c r="G463" s="638"/>
      <c r="H463" s="639"/>
      <c r="I463" s="639"/>
      <c r="J463" s="642"/>
      <c r="K463" s="642"/>
      <c r="L463" s="642"/>
      <c r="M463" s="639"/>
      <c r="N463" s="639"/>
      <c r="O463" s="641"/>
      <c r="P463" s="641"/>
    </row>
    <row r="472" spans="3:20">
      <c r="C472" s="592"/>
      <c r="D472" s="592"/>
      <c r="E472" s="592"/>
      <c r="F472" s="592"/>
      <c r="G472" s="592"/>
      <c r="H472" s="592"/>
      <c r="I472" s="592"/>
      <c r="J472" s="592"/>
      <c r="K472" s="592"/>
      <c r="L472" s="592"/>
      <c r="M472" s="644"/>
      <c r="N472" s="592"/>
      <c r="O472" s="592"/>
      <c r="P472" s="592"/>
      <c r="Q472" s="592"/>
      <c r="R472" s="592"/>
      <c r="S472" s="592"/>
      <c r="T472" s="592"/>
    </row>
    <row r="473" spans="3:20">
      <c r="C473" s="592"/>
      <c r="D473" s="592"/>
      <c r="E473" s="592"/>
      <c r="F473" s="592"/>
      <c r="G473" s="592"/>
      <c r="H473" s="592"/>
      <c r="I473" s="592"/>
      <c r="J473" s="592"/>
      <c r="K473" s="592"/>
      <c r="L473" s="592"/>
      <c r="M473" s="644"/>
      <c r="N473" s="592"/>
      <c r="O473" s="592"/>
      <c r="P473" s="592"/>
      <c r="Q473" s="592"/>
      <c r="R473" s="592"/>
      <c r="S473" s="592"/>
      <c r="T473" s="592"/>
    </row>
  </sheetData>
  <mergeCells count="16">
    <mergeCell ref="P6:P7"/>
    <mergeCell ref="Q6:Q7"/>
    <mergeCell ref="A8:H9"/>
    <mergeCell ref="I8:I9"/>
    <mergeCell ref="J8:J9"/>
    <mergeCell ref="K8:K9"/>
    <mergeCell ref="L8:L9"/>
    <mergeCell ref="M8:M9"/>
    <mergeCell ref="P8:P9"/>
    <mergeCell ref="Q8:Q9"/>
    <mergeCell ref="A6:F7"/>
    <mergeCell ref="I6:I7"/>
    <mergeCell ref="J6:J7"/>
    <mergeCell ref="K6:K7"/>
    <mergeCell ref="L6:L7"/>
    <mergeCell ref="M6:M7"/>
  </mergeCell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HP NP4</vt:lpstr>
      <vt:lpstr>RCC SD</vt:lpstr>
      <vt:lpstr>School Extension (Modified)</vt:lpstr>
      <vt:lpstr>Nongmynsong</vt:lpstr>
      <vt:lpstr>Mawblei (Original)</vt:lpstr>
      <vt:lpstr>Science Labaratory (Option 2)</vt:lpstr>
      <vt:lpstr>Science Labaratory</vt:lpstr>
      <vt:lpstr>GENERAL ABSTRACT (Modified)</vt:lpstr>
      <vt:lpstr>uTILISATION</vt:lpstr>
      <vt:lpstr>Forest Royalty</vt:lpstr>
      <vt:lpstr>'Mawblei (Original)'!Print_Area</vt:lpstr>
      <vt:lpstr>Nongmynsong!Print_Area</vt:lpstr>
      <vt:lpstr>'School Extension (Modified)'!Print_Area</vt:lpstr>
      <vt:lpstr>'Science Labaratory'!Print_Area</vt:lpstr>
      <vt:lpstr>'Science Labaratory (Option 2)'!Print_Area</vt:lpstr>
    </vt:vector>
  </TitlesOfParts>
  <Company>PWD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c:creator>
  <cp:lastModifiedBy>Hp</cp:lastModifiedBy>
  <cp:lastPrinted>2016-04-03T09:48:46Z</cp:lastPrinted>
  <dcterms:created xsi:type="dcterms:W3CDTF">2004-10-21T05:33:29Z</dcterms:created>
  <dcterms:modified xsi:type="dcterms:W3CDTF">2021-02-17T05:05:07Z</dcterms:modified>
</cp:coreProperties>
</file>